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ch/Desktop/"/>
    </mc:Choice>
  </mc:AlternateContent>
  <xr:revisionPtr revIDLastSave="0" documentId="13_ncr:1_{67CBDB9B-6B4A-3D47-A935-B8584E8926EE}" xr6:coauthVersionLast="45" xr6:coauthVersionMax="45" xr10:uidLastSave="{00000000-0000-0000-0000-000000000000}"/>
  <bookViews>
    <workbookView xWindow="600" yWindow="460" windowWidth="19420" windowHeight="10420" tabRatio="858" firstSheet="1" activeTab="5" xr2:uid="{00000000-000D-0000-FFFF-FFFF00000000}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R18" i="1" l="1"/>
  <c r="CW18" i="1" s="1"/>
  <c r="CQ18" i="1"/>
  <c r="CV18" i="1" s="1"/>
  <c r="CP18" i="1"/>
  <c r="CU18" i="1" s="1"/>
  <c r="CO18" i="1"/>
  <c r="CT18" i="1" s="1"/>
  <c r="CM18" i="1"/>
  <c r="CL18" i="1"/>
  <c r="CK18" i="1"/>
  <c r="CJ18" i="1"/>
  <c r="CR17" i="1"/>
  <c r="CW17" i="1" s="1"/>
  <c r="CQ17" i="1"/>
  <c r="CV17" i="1" s="1"/>
  <c r="CP17" i="1"/>
  <c r="CU17" i="1" s="1"/>
  <c r="CO17" i="1"/>
  <c r="CT17" i="1" s="1"/>
  <c r="CM17" i="1"/>
  <c r="CL17" i="1"/>
  <c r="CK17" i="1"/>
  <c r="CJ17" i="1"/>
  <c r="CR16" i="1"/>
  <c r="CW16" i="1" s="1"/>
  <c r="CQ16" i="1"/>
  <c r="CV16" i="1" s="1"/>
  <c r="CP16" i="1"/>
  <c r="CU16" i="1" s="1"/>
  <c r="CO16" i="1"/>
  <c r="CT16" i="1" s="1"/>
  <c r="CM16" i="1"/>
  <c r="CL16" i="1"/>
  <c r="CK16" i="1"/>
  <c r="CJ16" i="1"/>
  <c r="CR15" i="1"/>
  <c r="CW15" i="1" s="1"/>
  <c r="CQ15" i="1"/>
  <c r="CV15" i="1" s="1"/>
  <c r="CP15" i="1"/>
  <c r="CU15" i="1" s="1"/>
  <c r="CO15" i="1"/>
  <c r="CT15" i="1" s="1"/>
  <c r="CM15" i="1"/>
  <c r="CL15" i="1"/>
  <c r="CK15" i="1"/>
  <c r="CJ15" i="1"/>
  <c r="CR14" i="1"/>
  <c r="CW14" i="1" s="1"/>
  <c r="CQ14" i="1"/>
  <c r="CV14" i="1" s="1"/>
  <c r="CP14" i="1"/>
  <c r="CU14" i="1" s="1"/>
  <c r="CO14" i="1"/>
  <c r="CT14" i="1" s="1"/>
  <c r="CM14" i="1"/>
  <c r="CL14" i="1"/>
  <c r="CK14" i="1"/>
  <c r="CJ14" i="1"/>
  <c r="CR13" i="1"/>
  <c r="CW13" i="1" s="1"/>
  <c r="CQ13" i="1"/>
  <c r="CV13" i="1" s="1"/>
  <c r="CP13" i="1"/>
  <c r="CU13" i="1" s="1"/>
  <c r="CO13" i="1"/>
  <c r="CT13" i="1" s="1"/>
  <c r="CM13" i="1"/>
  <c r="CL13" i="1"/>
  <c r="CK13" i="1"/>
  <c r="CJ13" i="1"/>
  <c r="CR12" i="1"/>
  <c r="CW12" i="1" s="1"/>
  <c r="CQ12" i="1"/>
  <c r="CV12" i="1" s="1"/>
  <c r="CP12" i="1"/>
  <c r="CU12" i="1" s="1"/>
  <c r="CO12" i="1"/>
  <c r="CT12" i="1" s="1"/>
  <c r="CM12" i="1"/>
  <c r="CL12" i="1"/>
  <c r="CK12" i="1"/>
  <c r="CJ12" i="1"/>
  <c r="CR11" i="1"/>
  <c r="CW11" i="1" s="1"/>
  <c r="CQ11" i="1"/>
  <c r="CV11" i="1" s="1"/>
  <c r="CP11" i="1"/>
  <c r="CU11" i="1" s="1"/>
  <c r="CO11" i="1"/>
  <c r="CT11" i="1" s="1"/>
  <c r="CM11" i="1"/>
  <c r="CL11" i="1"/>
  <c r="CK11" i="1"/>
  <c r="CJ11" i="1"/>
  <c r="CR10" i="1"/>
  <c r="CW10" i="1" s="1"/>
  <c r="CQ10" i="1"/>
  <c r="CV10" i="1" s="1"/>
  <c r="CP10" i="1"/>
  <c r="CU10" i="1" s="1"/>
  <c r="CO10" i="1"/>
  <c r="CT10" i="1" s="1"/>
  <c r="CM10" i="1"/>
  <c r="CL10" i="1"/>
  <c r="CK10" i="1"/>
  <c r="CJ10" i="1"/>
  <c r="CR9" i="1"/>
  <c r="CW9" i="1" s="1"/>
  <c r="CQ9" i="1"/>
  <c r="CV9" i="1" s="1"/>
  <c r="CP9" i="1"/>
  <c r="CU9" i="1" s="1"/>
  <c r="CO9" i="1"/>
  <c r="CT9" i="1" s="1"/>
  <c r="CM9" i="1"/>
  <c r="CL9" i="1"/>
  <c r="CK9" i="1"/>
  <c r="CJ9" i="1"/>
  <c r="CR8" i="1"/>
  <c r="CW8" i="1" s="1"/>
  <c r="CQ8" i="1"/>
  <c r="CV8" i="1" s="1"/>
  <c r="CP8" i="1"/>
  <c r="CU8" i="1" s="1"/>
  <c r="CO8" i="1"/>
  <c r="CT8" i="1" s="1"/>
  <c r="CM8" i="1"/>
  <c r="CL8" i="1"/>
  <c r="CK8" i="1"/>
  <c r="CJ8" i="1"/>
  <c r="CR7" i="1"/>
  <c r="CW7" i="1" s="1"/>
  <c r="CQ7" i="1"/>
  <c r="CV7" i="1" s="1"/>
  <c r="CP7" i="1"/>
  <c r="CU7" i="1" s="1"/>
  <c r="CO7" i="1"/>
  <c r="CT7" i="1" s="1"/>
  <c r="CM7" i="1"/>
  <c r="CL7" i="1"/>
  <c r="CK7" i="1"/>
  <c r="CJ7" i="1"/>
  <c r="CR6" i="1"/>
  <c r="CQ6" i="1"/>
  <c r="CP6" i="1"/>
  <c r="CO6" i="1"/>
  <c r="CM6" i="1"/>
  <c r="CL6" i="1"/>
  <c r="CK6" i="1"/>
  <c r="CJ6" i="1"/>
  <c r="X33" i="5" l="1"/>
  <c r="E1" i="2" l="1"/>
  <c r="E10" i="2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B34" i="5" l="1"/>
  <c r="C34" i="5"/>
  <c r="C35" i="5" s="1"/>
  <c r="E18" i="1" l="1"/>
  <c r="BX18" i="1" s="1"/>
  <c r="BS96" i="1" l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AR96" i="1"/>
  <c r="AP96" i="1"/>
  <c r="AO96" i="1"/>
  <c r="AN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X57" i="1"/>
  <c r="AW57" i="1"/>
  <c r="AU57" i="1"/>
  <c r="AT57" i="1"/>
  <c r="AS57" i="1"/>
  <c r="AR57" i="1"/>
  <c r="AP57" i="1"/>
  <c r="AO57" i="1"/>
  <c r="AN57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BS31" i="1"/>
  <c r="BQ31" i="1"/>
  <c r="BP31" i="1"/>
  <c r="BO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R31" i="1"/>
  <c r="AP31" i="1"/>
  <c r="AO31" i="1"/>
  <c r="AN31" i="1"/>
  <c r="D18" i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F18" i="1"/>
  <c r="BY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BS109" i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N109" i="1"/>
  <c r="G34" i="5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F34" i="5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U6" i="3"/>
  <c r="I45" i="5"/>
  <c r="I34" i="5" l="1"/>
  <c r="AU18" i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N31" i="1"/>
  <c r="BR57" i="1"/>
  <c r="BN83" i="1"/>
  <c r="AX18" i="1"/>
  <c r="BR83" i="1"/>
  <c r="AQ83" i="1"/>
  <c r="AQ96" i="1"/>
  <c r="AQ109" i="1"/>
  <c r="AO18" i="1"/>
  <c r="CD18" i="1" s="1"/>
  <c r="BK44" i="1"/>
  <c r="AP18" i="1"/>
  <c r="CE18" i="1" s="1"/>
  <c r="AQ31" i="1"/>
  <c r="BK96" i="1"/>
  <c r="AQ44" i="1"/>
  <c r="AQ57" i="1"/>
  <c r="AC18" i="1"/>
  <c r="AD18" i="1"/>
  <c r="AA18" i="1"/>
  <c r="BJ96" i="1"/>
  <c r="BJ83" i="1"/>
  <c r="BJ70" i="1"/>
  <c r="AN18" i="1"/>
  <c r="CC18" i="1" s="1"/>
  <c r="BD18" i="1"/>
  <c r="BP18" i="1"/>
  <c r="BJ57" i="1"/>
  <c r="AR18" i="1"/>
  <c r="BQ18" i="1"/>
  <c r="BJ44" i="1"/>
  <c r="BN44" i="1"/>
  <c r="AZ18" i="1"/>
  <c r="BJ31" i="1"/>
  <c r="BJ109" i="1"/>
  <c r="AQ18" i="1" l="1"/>
  <c r="CB18" i="1" s="1"/>
  <c r="BH18" i="1"/>
  <c r="BM83" i="1"/>
  <c r="AY18" i="1"/>
  <c r="BM44" i="1"/>
  <c r="BC18" i="1"/>
  <c r="BL18" i="1"/>
  <c r="BS18" i="1"/>
  <c r="AV18" i="1"/>
  <c r="CF18" i="1" s="1"/>
  <c r="BJ18" i="1"/>
  <c r="BM31" i="1"/>
  <c r="BM57" i="1"/>
  <c r="BM109" i="1"/>
  <c r="BM70" i="1"/>
  <c r="BR31" i="1"/>
  <c r="BR18" i="1" s="1"/>
  <c r="CG18" i="1" s="1"/>
  <c r="CH18" i="1" s="1"/>
  <c r="BK18" i="1"/>
  <c r="BN18" i="1"/>
  <c r="BM96" i="1"/>
  <c r="BM18" i="1" l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B46" i="2" s="1"/>
  <c r="U116" i="6"/>
  <c r="AA46" i="2" s="1"/>
  <c r="T116" i="6"/>
  <c r="Z46" i="2" s="1"/>
  <c r="S116" i="6"/>
  <c r="Y46" i="2" s="1"/>
  <c r="R116" i="6"/>
  <c r="P116" i="6"/>
  <c r="O116" i="6"/>
  <c r="N116" i="6"/>
  <c r="L116" i="6"/>
  <c r="L46" i="2" s="1"/>
  <c r="K116" i="6"/>
  <c r="K46" i="2" s="1"/>
  <c r="I116" i="6"/>
  <c r="I46" i="2" s="1"/>
  <c r="H116" i="6"/>
  <c r="H46" i="2" s="1"/>
  <c r="G116" i="6"/>
  <c r="G46" i="2" s="1"/>
  <c r="F116" i="6"/>
  <c r="F46" i="2" s="1"/>
  <c r="D116" i="6"/>
  <c r="D46" i="2" s="1"/>
  <c r="C116" i="6"/>
  <c r="C46" i="2" s="1"/>
  <c r="R115" i="6"/>
  <c r="P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7" i="5"/>
  <c r="I56" i="5"/>
  <c r="I55" i="5"/>
  <c r="I17" i="2" l="1"/>
  <c r="H17" i="2"/>
  <c r="K17" i="2"/>
  <c r="AA17" i="2"/>
  <c r="G17" i="2"/>
  <c r="L17" i="2"/>
  <c r="D17" i="2"/>
  <c r="F17" i="2"/>
  <c r="M46" i="2"/>
  <c r="AW45" i="5"/>
  <c r="AU45" i="5"/>
  <c r="AC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E116" i="6"/>
  <c r="E46" i="2" s="1"/>
  <c r="M116" i="6"/>
  <c r="X116" i="6"/>
  <c r="J116" i="6"/>
  <c r="J46" i="2" s="1"/>
  <c r="Y116" i="6"/>
  <c r="Q116" i="6"/>
  <c r="Z116" i="6"/>
  <c r="Q17" i="2" l="1"/>
  <c r="X17" i="2"/>
  <c r="Z17" i="2"/>
  <c r="Y17" i="2"/>
  <c r="B17" i="2"/>
  <c r="E17" i="2"/>
  <c r="M17" i="2"/>
  <c r="C17" i="2"/>
  <c r="AQ45" i="5"/>
  <c r="AK45" i="5" s="1"/>
  <c r="AG46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R17" i="2" l="1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R21" i="5"/>
  <c r="AZ20" i="5"/>
  <c r="AX20" i="5" l="1"/>
  <c r="AX7" i="5"/>
  <c r="AB7" i="5" s="1"/>
  <c r="N17" i="2"/>
  <c r="AB17" i="2"/>
  <c r="N29" i="2"/>
  <c r="AF6" i="6"/>
  <c r="BA20" i="5" l="1"/>
  <c r="BE20" i="5"/>
  <c r="AP20" i="5" s="1"/>
  <c r="V33" i="5"/>
  <c r="W33" i="5" s="1"/>
  <c r="L25" i="2" l="1"/>
  <c r="K25" i="2"/>
  <c r="H25" i="2"/>
  <c r="J25" i="2" s="1"/>
  <c r="D25" i="2"/>
  <c r="C25" i="2"/>
  <c r="B25" i="2"/>
  <c r="N25" i="2" l="1"/>
  <c r="E25" i="2"/>
  <c r="V6" i="3"/>
  <c r="V12" i="3"/>
  <c r="U12" i="3"/>
  <c r="V11" i="3"/>
  <c r="U11" i="3"/>
  <c r="V10" i="3"/>
  <c r="U10" i="3"/>
  <c r="V9" i="3"/>
  <c r="U9" i="3"/>
  <c r="V8" i="3"/>
  <c r="U8" i="3"/>
  <c r="V7" i="3"/>
  <c r="U7" i="3"/>
  <c r="W6" i="3"/>
  <c r="T6" i="3" s="1"/>
  <c r="H20" i="3"/>
  <c r="H19" i="3"/>
  <c r="H8" i="3"/>
  <c r="H6" i="3"/>
  <c r="W7" i="3" l="1"/>
  <c r="T7" i="3" s="1"/>
  <c r="U13" i="3"/>
  <c r="W11" i="3"/>
  <c r="T11" i="3" s="1"/>
  <c r="W8" i="3"/>
  <c r="T8" i="3" s="1"/>
  <c r="W10" i="3"/>
  <c r="T10" i="3" s="1"/>
  <c r="W12" i="3"/>
  <c r="T12" i="3" s="1"/>
  <c r="R13" i="3"/>
  <c r="W9" i="3"/>
  <c r="T9" i="3" s="1"/>
  <c r="V13" i="3"/>
  <c r="S13" i="3" s="1"/>
  <c r="W13" i="3" l="1"/>
  <c r="T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K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G54" i="5" l="1"/>
  <c r="I54" i="5"/>
  <c r="T24" i="5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Y30" i="5" s="1"/>
  <c r="AT32" i="5"/>
  <c r="T18" i="5"/>
  <c r="AZ31" i="5"/>
  <c r="AT31" i="5"/>
  <c r="AY31" i="5" s="1"/>
  <c r="AX31" i="5" s="1"/>
  <c r="AZ30" i="5"/>
  <c r="V28" i="5"/>
  <c r="T28" i="5"/>
  <c r="T30" i="5"/>
  <c r="AN30" i="5" s="1"/>
  <c r="V26" i="5"/>
  <c r="T20" i="5"/>
  <c r="T22" i="5"/>
  <c r="E35" i="5"/>
  <c r="E36" i="5" s="1"/>
  <c r="V22" i="5"/>
  <c r="V18" i="5"/>
  <c r="V16" i="5"/>
  <c r="V15" i="5"/>
  <c r="T15" i="5"/>
  <c r="P16" i="5"/>
  <c r="T16" i="5" s="1"/>
  <c r="T14" i="5"/>
  <c r="E37" i="5" l="1"/>
  <c r="E38" i="5" s="1"/>
  <c r="E39" i="5" s="1"/>
  <c r="E40" i="5" s="1"/>
  <c r="E41" i="5" s="1"/>
  <c r="E42" i="5" s="1"/>
  <c r="E43" i="5" s="1"/>
  <c r="E44" i="5" s="1"/>
  <c r="E45" i="5" s="1"/>
  <c r="K45" i="5" s="1"/>
  <c r="AY32" i="5"/>
  <c r="AX32" i="5" s="1"/>
  <c r="BA31" i="5"/>
  <c r="BE31" i="5"/>
  <c r="AP31" i="5" s="1"/>
  <c r="AJ31" i="5" s="1"/>
  <c r="AT33" i="5"/>
  <c r="AU33" i="5" s="1"/>
  <c r="AS33" i="5"/>
  <c r="AB32" i="5"/>
  <c r="AB31" i="5"/>
  <c r="AX21" i="5"/>
  <c r="AX30" i="5"/>
  <c r="B30" i="5"/>
  <c r="B31" i="5" s="1"/>
  <c r="B32" i="5" s="1"/>
  <c r="BA30" i="5" l="1"/>
  <c r="BE30" i="5"/>
  <c r="BE32" i="5"/>
  <c r="AP32" i="5" s="1"/>
  <c r="AJ32" i="5" s="1"/>
  <c r="BA32" i="5"/>
  <c r="BE21" i="5"/>
  <c r="AP21" i="5" s="1"/>
  <c r="BA21" i="5"/>
  <c r="AB30" i="5"/>
  <c r="AB21" i="5"/>
  <c r="J27" i="5"/>
  <c r="AP30" i="5" l="1"/>
  <c r="AJ30" i="5" s="1"/>
  <c r="G20" i="3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AJ21" i="5" s="1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Y15" i="5" l="1"/>
  <c r="AX15" i="5" s="1"/>
  <c r="G58" i="5"/>
  <c r="I58" i="5"/>
  <c r="BA29" i="5"/>
  <c r="BE29" i="5"/>
  <c r="AP29" i="5" s="1"/>
  <c r="AJ29" i="5" s="1"/>
  <c r="AZ13" i="5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Y14" i="5" s="1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J20" i="5" s="1"/>
  <c r="AN22" i="5"/>
  <c r="AY13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BA16" i="5" l="1"/>
  <c r="BE16" i="5"/>
  <c r="BE18" i="5"/>
  <c r="BA18" i="5"/>
  <c r="BE10" i="5"/>
  <c r="AP10" i="5" s="1"/>
  <c r="BA10" i="5"/>
  <c r="BE15" i="5"/>
  <c r="BA15" i="5"/>
  <c r="Z18" i="2"/>
  <c r="H19" i="2"/>
  <c r="H16" i="2"/>
  <c r="I19" i="2"/>
  <c r="I16" i="2"/>
  <c r="L16" i="2"/>
  <c r="AA15" i="2"/>
  <c r="Y16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AK43" i="2" s="1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AI40" i="2" s="1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BA25" i="5" l="1"/>
  <c r="BE25" i="5"/>
  <c r="BA24" i="5"/>
  <c r="BE24" i="5"/>
  <c r="BE23" i="5"/>
  <c r="AP23" i="5" s="1"/>
  <c r="AJ23" i="5" s="1"/>
  <c r="BA23" i="5"/>
  <c r="BE14" i="5"/>
  <c r="AP14" i="5" s="1"/>
  <c r="AJ14" i="5" s="1"/>
  <c r="BA14" i="5"/>
  <c r="BE19" i="5"/>
  <c r="AP19" i="5" s="1"/>
  <c r="AJ19" i="5" s="1"/>
  <c r="BA19" i="5"/>
  <c r="BE13" i="5"/>
  <c r="AP13" i="5" s="1"/>
  <c r="AJ13" i="5" s="1"/>
  <c r="BA13" i="5"/>
  <c r="AP15" i="5"/>
  <c r="AJ15" i="5" s="1"/>
  <c r="AP18" i="5"/>
  <c r="AJ18" i="5" s="1"/>
  <c r="BE9" i="5"/>
  <c r="AP9" i="5" s="1"/>
  <c r="AJ9" i="5" s="1"/>
  <c r="BA9" i="5"/>
  <c r="AK37" i="2"/>
  <c r="AJ36" i="2"/>
  <c r="BA8" i="5"/>
  <c r="BE8" i="5"/>
  <c r="BE22" i="5"/>
  <c r="AP22" i="5" s="1"/>
  <c r="AJ22" i="5" s="1"/>
  <c r="BA22" i="5"/>
  <c r="BE17" i="5"/>
  <c r="AP17" i="5" s="1"/>
  <c r="AJ17" i="5" s="1"/>
  <c r="BA17" i="5"/>
  <c r="AP16" i="5"/>
  <c r="AJ16" i="5" s="1"/>
  <c r="BA28" i="5"/>
  <c r="BE28" i="5"/>
  <c r="AP28" i="5" s="1"/>
  <c r="AJ28" i="5" s="1"/>
  <c r="BA26" i="5"/>
  <c r="BE26" i="5"/>
  <c r="AP26" i="5" s="1"/>
  <c r="AJ26" i="5" s="1"/>
  <c r="BA27" i="5"/>
  <c r="BE27" i="5"/>
  <c r="AP27" i="5" s="1"/>
  <c r="AJ27" i="5" s="1"/>
  <c r="AJ10" i="5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D18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E2" i="2" s="1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I17" i="1" s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G16" i="1" s="1"/>
  <c r="BF29" i="1"/>
  <c r="BF16" i="1" s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G15" i="1" s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I14" i="1" s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F13" i="1" s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I12" i="1" s="1"/>
  <c r="BG25" i="1"/>
  <c r="BG12" i="1" s="1"/>
  <c r="BF25" i="1"/>
  <c r="BF12" i="1" s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I11" i="1" s="1"/>
  <c r="BG24" i="1"/>
  <c r="BG11" i="1" s="1"/>
  <c r="BF24" i="1"/>
  <c r="BF11" i="1" s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G10" i="1" s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I9" i="1" s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I8" i="1" s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I7" i="1" s="1"/>
  <c r="BG20" i="1"/>
  <c r="BG7" i="1" s="1"/>
  <c r="BF20" i="1"/>
  <c r="BE20" i="1"/>
  <c r="BE7" i="1" s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BA17" i="1" s="1"/>
  <c r="AZ30" i="1"/>
  <c r="AZ17" i="1" s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D16" i="1" s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BA15" i="1" s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D14" i="1" s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D13" i="1" s="1"/>
  <c r="BB26" i="1"/>
  <c r="BB13" i="1" s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D12" i="1" s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D11" i="1" s="1"/>
  <c r="BB24" i="1"/>
  <c r="BA24" i="1"/>
  <c r="BA11" i="1" s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D10" i="1" s="1"/>
  <c r="BB23" i="1"/>
  <c r="BB10" i="1" s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B8" i="1" s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Z6" i="1" s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R17" i="1" s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P15" i="1" s="1"/>
  <c r="CE15" i="1" s="1"/>
  <c r="AO28" i="1"/>
  <c r="AN28" i="1"/>
  <c r="AN15" i="1" s="1"/>
  <c r="CC15" i="1" s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O14" i="1" s="1"/>
  <c r="CD14" i="1" s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R13" i="1" s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P10" i="1" s="1"/>
  <c r="CE10" i="1" s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CC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R8" i="1" s="1"/>
  <c r="AP21" i="1"/>
  <c r="AP8" i="1" s="1"/>
  <c r="CE8" i="1" s="1"/>
  <c r="AO21" i="1"/>
  <c r="AN21" i="1"/>
  <c r="AN8" i="1" s="1"/>
  <c r="CC8" i="1" s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CC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P8" i="5" l="1"/>
  <c r="AJ8" i="5" s="1"/>
  <c r="AP24" i="5"/>
  <c r="AJ24" i="5" s="1"/>
  <c r="AP25" i="5"/>
  <c r="AJ25" i="5" s="1"/>
  <c r="BI15" i="1"/>
  <c r="AR6" i="1"/>
  <c r="AR10" i="1"/>
  <c r="AN13" i="1"/>
  <c r="CC13" i="1" s="1"/>
  <c r="BG13" i="1"/>
  <c r="AO12" i="1"/>
  <c r="CD12" i="1" s="1"/>
  <c r="AN11" i="1"/>
  <c r="CC11" i="1" s="1"/>
  <c r="AZ8" i="1"/>
  <c r="AN12" i="1"/>
  <c r="CC12" i="1" s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CE17" i="1" s="1"/>
  <c r="BG9" i="1"/>
  <c r="AO7" i="1"/>
  <c r="CD7" i="1" s="1"/>
  <c r="AN17" i="1"/>
  <c r="CC17" i="1" s="1"/>
  <c r="AG34" i="2"/>
  <c r="BD6" i="1"/>
  <c r="AP11" i="1"/>
  <c r="CE11" i="1" s="1"/>
  <c r="BE9" i="1"/>
  <c r="AZ13" i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AZ16" i="1"/>
  <c r="BG8" i="1"/>
  <c r="BE15" i="1"/>
  <c r="BE10" i="1"/>
  <c r="BE12" i="1"/>
  <c r="BF7" i="1"/>
  <c r="BE14" i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E18" i="2"/>
  <c r="H27" i="2"/>
  <c r="G27" i="2"/>
  <c r="M28" i="2"/>
  <c r="M12" i="2"/>
  <c r="M13" i="2"/>
  <c r="E12" i="2"/>
  <c r="E19" i="2"/>
  <c r="E13" i="2"/>
  <c r="C27" i="2"/>
  <c r="D27" i="2"/>
  <c r="B28" i="2"/>
  <c r="B21" i="2"/>
  <c r="BB9" i="1"/>
  <c r="AO8" i="1"/>
  <c r="CD8" i="1" s="1"/>
  <c r="AN16" i="1"/>
  <c r="CC16" i="1" s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CD17" i="1" s="1"/>
  <c r="BG6" i="1"/>
  <c r="BD8" i="1"/>
  <c r="AR14" i="1"/>
  <c r="BA7" i="1"/>
  <c r="AR11" i="1"/>
  <c r="J28" i="2"/>
  <c r="D28" i="2"/>
  <c r="AG40" i="5"/>
  <c r="M40" i="5"/>
  <c r="BB7" i="1"/>
  <c r="AR16" i="1"/>
  <c r="AN6" i="1"/>
  <c r="CC6" i="1" s="1"/>
  <c r="BA6" i="1"/>
  <c r="AZ10" i="1"/>
  <c r="BE13" i="1"/>
  <c r="AN10" i="1"/>
  <c r="CC10" i="1" s="1"/>
  <c r="AP14" i="1"/>
  <c r="CE14" i="1" s="1"/>
  <c r="BD17" i="1"/>
  <c r="BE8" i="1"/>
  <c r="BE11" i="1"/>
  <c r="AZ7" i="1"/>
  <c r="AW17" i="1"/>
  <c r="AN14" i="1"/>
  <c r="CC14" i="1" s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19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A12" i="5" l="1"/>
  <c r="BE12" i="5"/>
  <c r="AP12" i="5" s="1"/>
  <c r="AJ12" i="5" s="1"/>
  <c r="BE11" i="5"/>
  <c r="BA11" i="5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11" i="2"/>
  <c r="E21" i="2" s="1"/>
  <c r="M10" i="2"/>
  <c r="M20" i="2" s="1"/>
  <c r="M24" i="2"/>
  <c r="M11" i="2"/>
  <c r="M21" i="2" s="1"/>
  <c r="C24" i="2"/>
  <c r="J27" i="2"/>
  <c r="E28" i="2"/>
  <c r="BH10" i="1"/>
  <c r="BC12" i="1"/>
  <c r="BC13" i="1"/>
  <c r="BC14" i="1"/>
  <c r="BC8" i="1"/>
  <c r="BH15" i="1"/>
  <c r="BC9" i="1"/>
  <c r="BH11" i="1"/>
  <c r="BH6" i="1"/>
  <c r="BC17" i="1"/>
  <c r="BH16" i="1"/>
  <c r="BC16" i="1"/>
  <c r="BH17" i="1"/>
  <c r="BC6" i="1"/>
  <c r="BH8" i="1"/>
  <c r="BH9" i="1"/>
  <c r="BH13" i="1"/>
  <c r="BH12" i="1"/>
  <c r="BC15" i="1"/>
  <c r="BC11" i="1"/>
  <c r="BC7" i="1"/>
  <c r="BH7" i="1"/>
  <c r="BH14" i="1"/>
  <c r="BC10" i="1"/>
  <c r="BR24" i="1"/>
  <c r="BR11" i="1" s="1"/>
  <c r="CG11" i="1" s="1"/>
  <c r="CH11" i="1" s="1"/>
  <c r="AV11" i="1"/>
  <c r="CF11" i="1" s="1"/>
  <c r="BR28" i="1"/>
  <c r="BR15" i="1" s="1"/>
  <c r="CG15" i="1" s="1"/>
  <c r="CH15" i="1" s="1"/>
  <c r="AV15" i="1"/>
  <c r="CF15" i="1" s="1"/>
  <c r="AY11" i="1"/>
  <c r="BR27" i="1"/>
  <c r="AV14" i="1"/>
  <c r="CF14" i="1" s="1"/>
  <c r="AY15" i="1"/>
  <c r="AY9" i="1"/>
  <c r="BR29" i="1"/>
  <c r="BR16" i="1" s="1"/>
  <c r="CG16" i="1" s="1"/>
  <c r="CH16" i="1" s="1"/>
  <c r="AV16" i="1"/>
  <c r="CF16" i="1" s="1"/>
  <c r="AY8" i="1"/>
  <c r="BR19" i="1"/>
  <c r="BR6" i="1" s="1"/>
  <c r="CG6" i="1" s="1"/>
  <c r="CH6" i="1" s="1"/>
  <c r="AV6" i="1"/>
  <c r="CF6" i="1" s="1"/>
  <c r="AY14" i="1"/>
  <c r="BR21" i="1"/>
  <c r="BR8" i="1" s="1"/>
  <c r="CG8" i="1" s="1"/>
  <c r="CH8" i="1" s="1"/>
  <c r="AV8" i="1"/>
  <c r="CF8" i="1" s="1"/>
  <c r="BR20" i="1"/>
  <c r="BR7" i="1" s="1"/>
  <c r="CG7" i="1" s="1"/>
  <c r="CH7" i="1" s="1"/>
  <c r="AV7" i="1"/>
  <c r="CF7" i="1" s="1"/>
  <c r="BR22" i="1"/>
  <c r="AV9" i="1"/>
  <c r="CF9" i="1" s="1"/>
  <c r="BR25" i="1"/>
  <c r="AV12" i="1"/>
  <c r="CF12" i="1" s="1"/>
  <c r="AY16" i="1"/>
  <c r="AY12" i="1"/>
  <c r="BR23" i="1"/>
  <c r="AV10" i="1"/>
  <c r="CF10" i="1" s="1"/>
  <c r="AY17" i="1"/>
  <c r="BR26" i="1"/>
  <c r="BR13" i="1" s="1"/>
  <c r="CG13" i="1" s="1"/>
  <c r="CH13" i="1" s="1"/>
  <c r="AV13" i="1"/>
  <c r="CF13" i="1" s="1"/>
  <c r="AY7" i="1"/>
  <c r="BR30" i="1"/>
  <c r="BR17" i="1" s="1"/>
  <c r="CG17" i="1" s="1"/>
  <c r="CH17" i="1" s="1"/>
  <c r="AV17" i="1"/>
  <c r="CF17" i="1" s="1"/>
  <c r="AY13" i="1"/>
  <c r="AY10" i="1"/>
  <c r="AY6" i="1"/>
  <c r="AQ16" i="1"/>
  <c r="CB16" i="1" s="1"/>
  <c r="AQ8" i="1"/>
  <c r="CB8" i="1" s="1"/>
  <c r="AQ17" i="1"/>
  <c r="CB17" i="1" s="1"/>
  <c r="AQ10" i="1"/>
  <c r="CB10" i="1" s="1"/>
  <c r="AQ12" i="1"/>
  <c r="CB12" i="1" s="1"/>
  <c r="AQ7" i="1"/>
  <c r="CB7" i="1" s="1"/>
  <c r="AQ15" i="1"/>
  <c r="CB15" i="1" s="1"/>
  <c r="AQ6" i="1"/>
  <c r="CB6" i="1" s="1"/>
  <c r="AQ13" i="1"/>
  <c r="CB13" i="1" s="1"/>
  <c r="AQ14" i="1"/>
  <c r="CB14" i="1" s="1"/>
  <c r="AQ11" i="1"/>
  <c r="CB11" i="1" s="1"/>
  <c r="AQ9" i="1"/>
  <c r="CB9" i="1" s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AP11" i="5" l="1"/>
  <c r="AJ11" i="5" s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BM11" i="1"/>
  <c r="BM17" i="1"/>
  <c r="BM15" i="1"/>
  <c r="BM14" i="1"/>
  <c r="BM13" i="1"/>
  <c r="BM8" i="1"/>
  <c r="BM10" i="1"/>
  <c r="BM6" i="1"/>
  <c r="BM16" i="1"/>
  <c r="BM9" i="1"/>
  <c r="BM7" i="1"/>
  <c r="BM12" i="1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44" i="5" s="1"/>
  <c r="B45" i="5" s="1"/>
  <c r="BE7" i="5"/>
  <c r="BA7" i="5"/>
  <c r="BA33" i="5"/>
  <c r="AB33" i="5"/>
  <c r="AC33" i="5" s="1"/>
  <c r="BE33" i="5"/>
  <c r="AP7" i="5" l="1"/>
  <c r="AJ7" i="5" s="1"/>
  <c r="AP33" i="5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NNQue</author>
  </authors>
  <commentList>
    <comment ref="O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NNQUE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NNQUE</author>
    <author>NNQue</author>
  </authors>
  <commentList>
    <comment ref="AD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</commentList>
</comments>
</file>

<file path=xl/sharedStrings.xml><?xml version="1.0" encoding="utf-8"?>
<sst xmlns="http://schemas.openxmlformats.org/spreadsheetml/2006/main" count="1635" uniqueCount="282">
  <si>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</si>
  <si>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</si>
  <si>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</si>
  <si>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</si>
  <si>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</si>
  <si>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</si>
  <si>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</si>
  <si>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</si>
  <si>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</si>
  <si>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</si>
  <si>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</si>
  <si>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</si>
  <si>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</si>
  <si>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</si>
  <si>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</si>
  <si>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</si>
  <si>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</si>
  <si>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</si>
  <si>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</si>
  <si>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</si>
  <si>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</si>
  <si>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</si>
  <si>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</si>
  <si>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</si>
  <si>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</si>
  <si>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</si>
  <si>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</si>
  <si>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</si>
  <si>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</si>
  <si>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</si>
  <si>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</si>
  <si>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</si>
  <si>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</si>
  <si>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</si>
  <si>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</si>
  <si>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</si>
  <si>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</si>
  <si>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</si>
  <si>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</si>
  <si>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</si>
  <si>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</si>
  <si>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</si>
  <si>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</si>
  <si>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</si>
  <si>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</si>
  <si>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</si>
  <si>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</si>
  <si>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</si>
  <si>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</si>
  <si>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</si>
  <si>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</si>
  <si>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</si>
  <si>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</si>
  <si>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</si>
  <si>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</si>
  <si>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</si>
  <si>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</si>
  <si>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</si>
  <si>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</si>
  <si>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</si>
  <si>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</si>
  <si>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</si>
  <si>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</si>
  <si>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Source: Extract of VPM2014 Current Run (Do not change the Table Format)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</si>
  <si>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</si>
  <si>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</si>
  <si>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</si>
  <si>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</si>
  <si>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</si>
  <si>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</si>
  <si>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</si>
  <si>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</si>
  <si>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</si>
  <si>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</si>
  <si>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</si>
  <si>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</si>
  <si>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</si>
  <si>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</si>
  <si>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</si>
  <si>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</si>
  <si>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</si>
  <si>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</si>
  <si>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</si>
  <si>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</si>
  <si>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</si>
  <si>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</si>
  <si>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</si>
  <si>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</si>
  <si>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</si>
  <si>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</si>
  <si>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</si>
  <si>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Growth assumption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</si>
  <si>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</si>
  <si>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</si>
  <si>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</si>
  <si>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</si>
  <si>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</si>
  <si>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</si>
  <si>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</si>
  <si>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</si>
  <si>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</si>
  <si>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</si>
  <si>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</si>
  <si>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</si>
  <si>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</si>
  <si>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</si>
  <si>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</si>
  <si>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</si>
  <si>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</si>
  <si>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</si>
  <si>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</si>
  <si>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</si>
  <si>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</si>
  <si>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</si>
  <si>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</si>
  <si>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Corn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</si>
  <si>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</si>
  <si>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</si>
  <si>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</si>
  <si>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</si>
  <si>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</si>
  <si>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</si>
  <si>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</si>
  <si>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</si>
  <si>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</si>
  <si>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</si>
  <si>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</si>
  <si>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</si>
  <si>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</si>
  <si>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</si>
  <si>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</si>
  <si>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</si>
  <si>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</si>
  <si>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</si>
  <si>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</si>
  <si>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</si>
  <si>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</si>
  <si>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</si>
  <si>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</si>
  <si>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</si>
  <si>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</si>
  <si>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</si>
  <si>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</si>
  <si>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</si>
  <si>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</si>
  <si>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</si>
  <si>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</si>
  <si>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</si>
  <si>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</si>
  <si>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</si>
  <si>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</si>
  <si>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</si>
  <si>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</si>
  <si>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</si>
  <si>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</si>
  <si>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</si>
  <si>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</si>
  <si>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</si>
  <si>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</si>
  <si>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</si>
  <si>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</si>
  <si>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</si>
  <si>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</si>
  <si>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</si>
  <si>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</si>
  <si>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</si>
  <si>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</si>
  <si>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</si>
  <si>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</si>
  <si>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</si>
  <si>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</si>
  <si>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</si>
  <si>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</si>
  <si>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</si>
  <si>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2018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</si>
  <si>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</si>
  <si>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</si>
  <si>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</si>
  <si>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</si>
  <si>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</si>
  <si>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</si>
  <si>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</si>
  <si>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</si>
  <si>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</si>
  <si>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</si>
  <si>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</si>
  <si>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</si>
  <si>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</si>
  <si>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</si>
  <si>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</si>
  <si>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</si>
  <si>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</si>
  <si>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</si>
  <si>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</si>
  <si>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</si>
  <si>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</si>
  <si>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</si>
  <si>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</si>
  <si>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</si>
  <si>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</si>
  <si>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</si>
  <si>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</si>
  <si>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</si>
  <si>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</si>
  <si>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</si>
  <si>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</si>
  <si>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</si>
  <si>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</si>
  <si>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</si>
  <si>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</si>
  <si>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</si>
  <si>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</si>
  <si>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</si>
  <si>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</si>
  <si>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</si>
  <si>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</si>
  <si>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</si>
  <si>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</si>
  <si>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</si>
  <si>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</si>
  <si>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</si>
  <si>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</si>
  <si>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</si>
  <si>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</si>
  <si>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</si>
  <si>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</si>
  <si>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</si>
  <si>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</si>
  <si>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</si>
  <si>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</si>
  <si>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</si>
  <si>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</si>
  <si>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</si>
  <si>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</si>
  <si>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2018-2030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</si>
  <si>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</si>
  <si>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</si>
  <si>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</si>
  <si>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</si>
  <si>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</si>
  <si>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</si>
  <si>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</si>
  <si>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</si>
  <si>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</si>
  <si>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</si>
  <si>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</si>
  <si>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</si>
  <si>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</si>
  <si>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</si>
  <si>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</si>
  <si>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</si>
  <si>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</si>
  <si>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</si>
  <si>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</si>
  <si>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</si>
  <si>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</si>
  <si>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</si>
  <si>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</si>
  <si>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</si>
  <si>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</si>
  <si>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</si>
  <si>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</si>
  <si>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</si>
  <si>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</si>
  <si>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</si>
  <si>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</si>
  <si>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</si>
  <si>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</si>
  <si>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</si>
  <si>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</si>
  <si>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</si>
  <si>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</si>
  <si>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</si>
  <si>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Income projections</t>
  </si>
  <si>
    <t xml:space="preserve">NO ASF </t>
  </si>
  <si>
    <t>with ASF</t>
  </si>
  <si>
    <t>% difference</t>
  </si>
  <si>
    <t xml:space="preserve">Total </t>
  </si>
  <si>
    <t>Trad</t>
  </si>
  <si>
    <t xml:space="preserve">Comm </t>
  </si>
  <si>
    <t>Mod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</si>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</sst>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"/>
    <numFmt numFmtId="165" formatCode="0.000"/>
    <numFmt numFmtId="166" formatCode="0.0000"/>
  </numFmts>
  <fonts count="3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sz val="12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1" fillId="0" borderId="0"/>
    <xf numFmtId="41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75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2" fontId="14" fillId="0" borderId="0" xfId="0" applyNumberFormat="1" applyFont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1" fontId="24" fillId="0" borderId="6" xfId="0" applyNumberFormat="1" applyFont="1" applyFill="1" applyBorder="1"/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14" fillId="0" borderId="13" xfId="0" applyFont="1" applyFill="1" applyBorder="1"/>
    <xf numFmtId="0" fontId="14" fillId="0" borderId="5" xfId="0" applyFont="1" applyFill="1" applyBorder="1"/>
    <xf numFmtId="165" fontId="14" fillId="0" borderId="7" xfId="0" applyNumberFormat="1" applyFont="1" applyFill="1" applyBorder="1"/>
    <xf numFmtId="1" fontId="14" fillId="0" borderId="5" xfId="0" applyNumberFormat="1" applyFont="1" applyFill="1" applyBorder="1"/>
    <xf numFmtId="1" fontId="14" fillId="0" borderId="7" xfId="0" applyNumberFormat="1" applyFont="1" applyFill="1" applyBorder="1"/>
    <xf numFmtId="165" fontId="0" fillId="0" borderId="6" xfId="0" applyNumberFormat="1" applyFill="1" applyBorder="1"/>
    <xf numFmtId="165" fontId="14" fillId="0" borderId="9" xfId="0" applyNumberFormat="1" applyFont="1" applyFill="1" applyBorder="1"/>
    <xf numFmtId="164" fontId="24" fillId="0" borderId="9" xfId="0" applyNumberFormat="1" applyFont="1" applyFill="1" applyBorder="1"/>
    <xf numFmtId="2" fontId="24" fillId="0" borderId="9" xfId="0" applyNumberFormat="1" applyFont="1" applyFill="1" applyBorder="1"/>
    <xf numFmtId="164" fontId="14" fillId="0" borderId="8" xfId="0" applyNumberFormat="1" applyFont="1" applyFill="1" applyBorder="1"/>
    <xf numFmtId="1" fontId="19" fillId="0" borderId="8" xfId="0" applyNumberFormat="1" applyFont="1" applyFill="1" applyBorder="1"/>
    <xf numFmtId="0" fontId="14" fillId="0" borderId="14" xfId="0" applyFont="1" applyFill="1" applyBorder="1"/>
    <xf numFmtId="0" fontId="19" fillId="0" borderId="14" xfId="0" applyFont="1" applyFill="1" applyBorder="1"/>
    <xf numFmtId="0" fontId="19" fillId="0" borderId="8" xfId="0" applyFont="1" applyFill="1" applyBorder="1"/>
    <xf numFmtId="165" fontId="19" fillId="0" borderId="9" xfId="0" applyNumberFormat="1" applyFont="1" applyFill="1" applyBorder="1"/>
    <xf numFmtId="165" fontId="17" fillId="0" borderId="8" xfId="0" applyNumberFormat="1" applyFont="1" applyFill="1" applyBorder="1"/>
    <xf numFmtId="1" fontId="29" fillId="0" borderId="0" xfId="0" applyNumberFormat="1" applyFont="1" applyFill="1" applyBorder="1"/>
    <xf numFmtId="0" fontId="14" fillId="0" borderId="15" xfId="0" applyFont="1" applyFill="1" applyBorder="1"/>
    <xf numFmtId="0" fontId="14" fillId="0" borderId="10" xfId="0" applyFont="1" applyFill="1" applyBorder="1"/>
    <xf numFmtId="165" fontId="14" fillId="0" borderId="12" xfId="0" applyNumberFormat="1" applyFont="1" applyFill="1" applyBorder="1"/>
    <xf numFmtId="1" fontId="14" fillId="0" borderId="11" xfId="0" applyNumberFormat="1" applyFont="1" applyFill="1" applyBorder="1"/>
    <xf numFmtId="1" fontId="14" fillId="0" borderId="10" xfId="0" applyNumberFormat="1" applyFont="1" applyFill="1" applyBorder="1"/>
    <xf numFmtId="1" fontId="14" fillId="0" borderId="12" xfId="0" applyNumberFormat="1" applyFont="1" applyFill="1" applyBorder="1"/>
    <xf numFmtId="1" fontId="13" fillId="0" borderId="11" xfId="0" applyNumberFormat="1" applyFont="1" applyFill="1" applyBorder="1"/>
    <xf numFmtId="165" fontId="0" fillId="0" borderId="10" xfId="0" applyNumberFormat="1" applyFill="1" applyBorder="1"/>
    <xf numFmtId="164" fontId="24" fillId="0" borderId="12" xfId="0" applyNumberFormat="1" applyFont="1" applyFill="1" applyBorder="1"/>
    <xf numFmtId="2" fontId="24" fillId="0" borderId="12" xfId="0" applyNumberFormat="1" applyFont="1" applyFill="1" applyBorder="1"/>
    <xf numFmtId="164" fontId="14" fillId="0" borderId="10" xfId="0" applyNumberFormat="1" applyFont="1" applyFill="1" applyBorder="1"/>
    <xf numFmtId="164" fontId="14" fillId="0" borderId="11" xfId="0" applyNumberFormat="1" applyFont="1" applyFill="1" applyBorder="1"/>
    <xf numFmtId="1" fontId="19" fillId="0" borderId="10" xfId="0" applyNumberFormat="1" applyFont="1" applyFill="1" applyBorder="1"/>
    <xf numFmtId="1" fontId="29" fillId="0" borderId="12" xfId="0" applyNumberFormat="1" applyFont="1" applyFill="1" applyBorder="1"/>
    <xf numFmtId="1" fontId="19" fillId="0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4" borderId="0" xfId="0" applyFont="1" applyFill="1"/>
    <xf numFmtId="41" fontId="6" fillId="4" borderId="0" xfId="2" applyFont="1" applyFill="1" applyAlignment="1">
      <alignment horizontal="right"/>
    </xf>
    <xf numFmtId="41" fontId="6" fillId="4" borderId="0" xfId="2" applyFont="1" applyFill="1"/>
    <xf numFmtId="9" fontId="6" fillId="4" borderId="0" xfId="3" applyFont="1" applyFill="1"/>
  </cellXfs>
  <cellStyles count="4">
    <cellStyle name="Comma [0]" xfId="2" builtinId="6"/>
    <cellStyle name="Normal" xfId="0" builtinId="0"/>
    <cellStyle name="Normal_DVHC" xfId="1" xr:uid="{00000000-0005-0000-0000-000001000000}"/>
    <cellStyle name="Percent" xfId="3" builtinId="5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6-4EA5-91FE-221291CC9E14}"/>
            </c:ext>
          </c:extLst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4316.8760868025665</c:v>
                </c:pt>
                <c:pt idx="28" formatCode="0">
                  <c:v>4503.2090818369152</c:v>
                </c:pt>
                <c:pt idx="29" formatCode="0">
                  <c:v>4685.3900596601534</c:v>
                </c:pt>
                <c:pt idx="30" formatCode="0">
                  <c:v>4891.8019359395703</c:v>
                </c:pt>
                <c:pt idx="31" formatCode="0">
                  <c:v>5122.6583367306812</c:v>
                </c:pt>
                <c:pt idx="32" formatCode="0">
                  <c:v>5386.6446305001964</c:v>
                </c:pt>
                <c:pt idx="33" formatCode="0">
                  <c:v>5687.7562034390457</c:v>
                </c:pt>
                <c:pt idx="34" formatCode="0">
                  <c:v>6026.0867220143218</c:v>
                </c:pt>
                <c:pt idx="35" formatCode="0">
                  <c:v>6410.7951737258682</c:v>
                </c:pt>
                <c:pt idx="36" formatCode="0">
                  <c:v>6851.1113419466528</c:v>
                </c:pt>
                <c:pt idx="37" formatCode="0">
                  <c:v>7369.6411287932606</c:v>
                </c:pt>
                <c:pt idx="38" formatCode="0">
                  <c:v>7961.0311418064266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6-4EA5-91FE-221291CC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53056"/>
        <c:axId val="340456976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6-4EA5-91FE-221291CC9E14}"/>
            </c:ext>
          </c:extLst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4848.0492586753871</c:v>
                </c:pt>
                <c:pt idx="28">
                  <c:v>5539.3948070504066</c:v>
                </c:pt>
                <c:pt idx="29">
                  <c:v>5790.0666892689469</c:v>
                </c:pt>
                <c:pt idx="30">
                  <c:v>6078.2307023680078</c:v>
                </c:pt>
                <c:pt idx="31">
                  <c:v>6409.2287849961103</c:v>
                </c:pt>
                <c:pt idx="32">
                  <c:v>6788.64576818364</c:v>
                </c:pt>
                <c:pt idx="33">
                  <c:v>7223.8045301465872</c:v>
                </c:pt>
                <c:pt idx="34">
                  <c:v>7723.7586770986745</c:v>
                </c:pt>
                <c:pt idx="35">
                  <c:v>8299.0180734706391</c:v>
                </c:pt>
                <c:pt idx="36">
                  <c:v>8964.7587652754137</c:v>
                </c:pt>
                <c:pt idx="37">
                  <c:v>9772.7139770268186</c:v>
                </c:pt>
                <c:pt idx="38">
                  <c:v>10714.202983805168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6-4EA5-91FE-221291CC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53056"/>
        <c:axId val="340456976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706-4EA5-91FE-221291CC9E14}"/>
            </c:ext>
          </c:extLst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6915.9400781178747</c:v>
                </c:pt>
                <c:pt idx="28" formatCode="0">
                  <c:v>8984.4345892680685</c:v>
                </c:pt>
                <c:pt idx="29" formatCode="0">
                  <c:v>9520.7868886121178</c:v>
                </c:pt>
                <c:pt idx="30" formatCode="0">
                  <c:v>10093.182966741775</c:v>
                </c:pt>
                <c:pt idx="31" formatCode="0">
                  <c:v>10711.528369364341</c:v>
                </c:pt>
                <c:pt idx="32" formatCode="0">
                  <c:v>11364.207944778924</c:v>
                </c:pt>
                <c:pt idx="33" formatCode="0">
                  <c:v>12058.843385069709</c:v>
                </c:pt>
                <c:pt idx="34" formatCode="0">
                  <c:v>12810.912899113768</c:v>
                </c:pt>
                <c:pt idx="35" formatCode="0">
                  <c:v>13615.732748798306</c:v>
                </c:pt>
                <c:pt idx="36" formatCode="0">
                  <c:v>14512.196497083509</c:v>
                </c:pt>
                <c:pt idx="37" formatCode="0">
                  <c:v>15734.950057500333</c:v>
                </c:pt>
                <c:pt idx="38" formatCode="0">
                  <c:v>17087.599218687588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706-4EA5-91FE-221291CC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453840"/>
        <c:axId val="340454624"/>
      </c:lineChart>
      <c:catAx>
        <c:axId val="3404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0456976"/>
        <c:crosses val="autoZero"/>
        <c:auto val="1"/>
        <c:lblAlgn val="ctr"/>
        <c:lblOffset val="100"/>
        <c:noMultiLvlLbl val="0"/>
      </c:catAx>
      <c:valAx>
        <c:axId val="340456976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0453056"/>
        <c:crosses val="autoZero"/>
        <c:crossBetween val="between"/>
      </c:valAx>
      <c:valAx>
        <c:axId val="34045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prstDash val="solid"/>
          </a:ln>
          <a:effectLst/>
        </c:spPr>
        <c:txPr>
          <a:bodyPr/>
          <a:lstStyle/>
          <a:p>
            <a:pPr>
              <a:defRPr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3840"/>
        <c:crosses val="max"/>
        <c:crossBetween val="between"/>
      </c:valAx>
      <c:catAx>
        <c:axId val="34045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5462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8-4A12-8DB2-D0E64BC1A6A4}"/>
            </c:ext>
          </c:extLst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1527.7675579814625</c:v>
                </c:pt>
                <c:pt idx="28" formatCode="0">
                  <c:v>1748.3169140999864</c:v>
                </c:pt>
                <c:pt idx="29" formatCode="0">
                  <c:v>1824.0444064074484</c:v>
                </c:pt>
                <c:pt idx="30" formatCode="0">
                  <c:v>1910.2531411813231</c:v>
                </c:pt>
                <c:pt idx="31" formatCode="0">
                  <c:v>2008.41693497599</c:v>
                </c:pt>
                <c:pt idx="32" formatCode="0">
                  <c:v>2120.0494826815516</c:v>
                </c:pt>
                <c:pt idx="33" formatCode="0">
                  <c:v>2247.1625585121956</c:v>
                </c:pt>
                <c:pt idx="34" formatCode="0">
                  <c:v>2392.2481059635197</c:v>
                </c:pt>
                <c:pt idx="35" formatCode="0">
                  <c:v>2558.1717324369911</c:v>
                </c:pt>
                <c:pt idx="36" formatCode="0">
                  <c:v>2749.0812825733638</c:v>
                </c:pt>
                <c:pt idx="37" formatCode="0">
                  <c:v>2978.5410567553854</c:v>
                </c:pt>
                <c:pt idx="38" formatCode="0">
                  <c:v>3244.5485303847618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8-4A12-8DB2-D0E64BC1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57368"/>
        <c:axId val="379572152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8-4A12-8DB2-D0E64BC1A6A4}"/>
            </c:ext>
          </c:extLst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519.62756574953823</c:v>
                </c:pt>
                <c:pt idx="28" formatCode="0">
                  <c:v>597.57316673246453</c:v>
                </c:pt>
                <c:pt idx="29" formatCode="0">
                  <c:v>615.80720452500702</c:v>
                </c:pt>
                <c:pt idx="30" formatCode="0">
                  <c:v>634.5546504724789</c:v>
                </c:pt>
                <c:pt idx="31" formatCode="0">
                  <c:v>653.84648730446588</c:v>
                </c:pt>
                <c:pt idx="32" formatCode="0">
                  <c:v>673.64820406833235</c:v>
                </c:pt>
                <c:pt idx="33" formatCode="0">
                  <c:v>693.9858165839139</c:v>
                </c:pt>
                <c:pt idx="34" formatCode="0">
                  <c:v>714.90646463127723</c:v>
                </c:pt>
                <c:pt idx="35" formatCode="0">
                  <c:v>736.39752644285272</c:v>
                </c:pt>
                <c:pt idx="36" formatCode="0">
                  <c:v>758.56228617169847</c:v>
                </c:pt>
                <c:pt idx="37" formatCode="0">
                  <c:v>781.51580183436738</c:v>
                </c:pt>
                <c:pt idx="38" formatCode="0">
                  <c:v>805.09795864173816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8-4A12-8DB2-D0E64BC1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57368"/>
        <c:axId val="379572152"/>
      </c:barChart>
      <c:catAx>
        <c:axId val="3404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9572152"/>
        <c:crosses val="autoZero"/>
        <c:auto val="1"/>
        <c:lblAlgn val="ctr"/>
        <c:lblOffset val="100"/>
        <c:noMultiLvlLbl val="0"/>
      </c:catAx>
      <c:valAx>
        <c:axId val="37957215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045736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0-45C1-9B06-9A7C95308C0B}"/>
            </c:ext>
          </c:extLst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15.955646975448403</c:v>
                </c:pt>
                <c:pt idx="28">
                  <c:v>18.052117735675136</c:v>
                </c:pt>
                <c:pt idx="29">
                  <c:v>18.620621288930582</c:v>
                </c:pt>
                <c:pt idx="30">
                  <c:v>19.279711964769469</c:v>
                </c:pt>
                <c:pt idx="31">
                  <c:v>20.040781058767664</c:v>
                </c:pt>
                <c:pt idx="32">
                  <c:v>20.914984375110876</c:v>
                </c:pt>
                <c:pt idx="33">
                  <c:v>21.91780645170039</c:v>
                </c:pt>
                <c:pt idx="34">
                  <c:v>23.068530208381333</c:v>
                </c:pt>
                <c:pt idx="35">
                  <c:v>24.389021028989244</c:v>
                </c:pt>
                <c:pt idx="36">
                  <c:v>25.902895425544465</c:v>
                </c:pt>
                <c:pt idx="37">
                  <c:v>27.571994622231667</c:v>
                </c:pt>
                <c:pt idx="38">
                  <c:v>29.494388730144045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0-45C1-9B06-9A7C9530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77248"/>
        <c:axId val="379576072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6F0-45C1-9B06-9A7C95308C0B}"/>
            </c:ext>
          </c:extLst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7" formatCode="0.0">
                  <c:v>2.4203882811712316</c:v>
                </c:pt>
                <c:pt idx="28" formatCode="0.0">
                  <c:v>2.682145238515047</c:v>
                </c:pt>
                <c:pt idx="29" formatCode="0.0">
                  <c:v>2.7452058682282923</c:v>
                </c:pt>
                <c:pt idx="30" formatCode="0.0">
                  <c:v>2.8042628074054976</c:v>
                </c:pt>
                <c:pt idx="31" formatCode="0.0">
                  <c:v>2.8596553349843177</c:v>
                </c:pt>
                <c:pt idx="32" formatCode="0.0">
                  <c:v>2.9040983194832055</c:v>
                </c:pt>
                <c:pt idx="33" formatCode="0.0">
                  <c:v>2.9378138272807908</c:v>
                </c:pt>
                <c:pt idx="34" formatCode="0.0">
                  <c:v>2.9597562583697266</c:v>
                </c:pt>
                <c:pt idx="35" formatCode="0.0">
                  <c:v>2.9676538521247493</c:v>
                </c:pt>
                <c:pt idx="36" formatCode="0.0">
                  <c:v>2.96375086926562</c:v>
                </c:pt>
                <c:pt idx="37" formatCode="0.0">
                  <c:v>2.9964736760605106</c:v>
                </c:pt>
                <c:pt idx="38" formatCode="0.0">
                  <c:v>3.0148281802008245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0-45C1-9B06-9A7C9530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73328"/>
        <c:axId val="379576856"/>
      </c:lineChart>
      <c:catAx>
        <c:axId val="3795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9576856"/>
        <c:crosses val="autoZero"/>
        <c:auto val="1"/>
        <c:lblAlgn val="ctr"/>
        <c:lblOffset val="100"/>
        <c:noMultiLvlLbl val="0"/>
      </c:catAx>
      <c:valAx>
        <c:axId val="379576856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9573328"/>
        <c:crosses val="autoZero"/>
        <c:crossBetween val="between"/>
      </c:valAx>
      <c:valAx>
        <c:axId val="379576072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379577248"/>
        <c:crosses val="max"/>
        <c:crossBetween val="between"/>
      </c:valAx>
      <c:catAx>
        <c:axId val="37957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57607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2785.8004378381165</c:v>
                </c:pt>
                <c:pt idx="9">
                  <c:v>2972.6574827897311</c:v>
                </c:pt>
                <c:pt idx="10">
                  <c:v>3192.769471404692</c:v>
                </c:pt>
                <c:pt idx="11">
                  <c:v>3445.5610406437954</c:v>
                </c:pt>
                <c:pt idx="12">
                  <c:v>3475.6025350847463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0-4D10-912F-3AE977BE718F}"/>
            </c:ext>
          </c:extLst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1911.7638491843677</c:v>
                </c:pt>
                <c:pt idx="1">
                  <c:v>1527.7675579814622</c:v>
                </c:pt>
                <c:pt idx="2">
                  <c:v>1748.3169140999867</c:v>
                </c:pt>
                <c:pt idx="3">
                  <c:v>1824.0444064074486</c:v>
                </c:pt>
                <c:pt idx="4">
                  <c:v>1910.2531411813231</c:v>
                </c:pt>
                <c:pt idx="5">
                  <c:v>2008.4169349759898</c:v>
                </c:pt>
                <c:pt idx="6">
                  <c:v>2120.049482681552</c:v>
                </c:pt>
                <c:pt idx="7">
                  <c:v>2247.1625585121956</c:v>
                </c:pt>
                <c:pt idx="8">
                  <c:v>2392.2481059635197</c:v>
                </c:pt>
                <c:pt idx="9">
                  <c:v>2558.1717324369911</c:v>
                </c:pt>
                <c:pt idx="10">
                  <c:v>2749.0812825733633</c:v>
                </c:pt>
                <c:pt idx="11">
                  <c:v>2978.5410567553849</c:v>
                </c:pt>
                <c:pt idx="12">
                  <c:v>3007.6057215530914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0-4D10-912F-3AE977BE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79574504"/>
        <c:axId val="379576464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104123.88017318388</c:v>
                </c:pt>
                <c:pt idx="9">
                  <c:v>105127.85532641795</c:v>
                </c:pt>
                <c:pt idx="10">
                  <c:v>105922.54605190243</c:v>
                </c:pt>
                <c:pt idx="11">
                  <c:v>106027.44678869151</c:v>
                </c:pt>
                <c:pt idx="12">
                  <c:v>106473.84601712585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0-4D10-912F-3AE977BE718F}"/>
            </c:ext>
          </c:extLst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79574.558654334251</c:v>
                </c:pt>
                <c:pt idx="1">
                  <c:v>91775.195774465552</c:v>
                </c:pt>
                <c:pt idx="2">
                  <c:v>111461.02682509126</c:v>
                </c:pt>
                <c:pt idx="3">
                  <c:v>116171.1933146558</c:v>
                </c:pt>
                <c:pt idx="4">
                  <c:v>120403.26996053997</c:v>
                </c:pt>
                <c:pt idx="5">
                  <c:v>124065.13142011265</c:v>
                </c:pt>
                <c:pt idx="6">
                  <c:v>127080.61493791023</c:v>
                </c:pt>
                <c:pt idx="7">
                  <c:v>129389.18621513649</c:v>
                </c:pt>
                <c:pt idx="8">
                  <c:v>130921.30119920181</c:v>
                </c:pt>
                <c:pt idx="9">
                  <c:v>131629.6706152827</c:v>
                </c:pt>
                <c:pt idx="10">
                  <c:v>131604.99133147139</c:v>
                </c:pt>
                <c:pt idx="11">
                  <c:v>131588.11953420393</c:v>
                </c:pt>
                <c:pt idx="12">
                  <c:v>132072.53859100281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0-4D10-912F-3AE977BE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74112"/>
        <c:axId val="379577640"/>
      </c:lineChart>
      <c:catAx>
        <c:axId val="37957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76464"/>
        <c:crosses val="autoZero"/>
        <c:auto val="1"/>
        <c:lblAlgn val="ctr"/>
        <c:lblOffset val="100"/>
        <c:noMultiLvlLbl val="0"/>
      </c:catAx>
      <c:valAx>
        <c:axId val="37957646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74504"/>
        <c:crosses val="autoZero"/>
        <c:crossBetween val="between"/>
      </c:valAx>
      <c:valAx>
        <c:axId val="379577640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74112"/>
        <c:crosses val="max"/>
        <c:crossBetween val="between"/>
      </c:valAx>
      <c:catAx>
        <c:axId val="3795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577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AI131"/>
  <sheetViews>
    <sheetView zoomScale="80" zoomScaleNormal="80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B119" sqref="B119"/>
    </sheetView>
  </sheetViews>
  <sheetFormatPr baseColWidth="10" defaultColWidth="8.83203125" defaultRowHeight="16"/>
  <cols>
    <col min="1" max="1" width="5.5" style="30" customWidth="1"/>
    <col min="2" max="2" width="7.33203125" style="30" bestFit="1" customWidth="1"/>
    <col min="3" max="3" width="8.5" style="1" bestFit="1" customWidth="1"/>
    <col min="4" max="4" width="7.1640625" style="1" bestFit="1" customWidth="1"/>
    <col min="5" max="5" width="7.33203125" style="1" bestFit="1" customWidth="1"/>
    <col min="6" max="6" width="8.5" style="1" bestFit="1" customWidth="1"/>
    <col min="7" max="7" width="7.33203125" style="1" bestFit="1" customWidth="1"/>
    <col min="8" max="8" width="8.5" style="1" bestFit="1" customWidth="1"/>
    <col min="9" max="9" width="7.1640625" style="1" bestFit="1" customWidth="1"/>
    <col min="10" max="10" width="6.1640625" style="1" bestFit="1" customWidth="1"/>
    <col min="11" max="11" width="7.83203125" style="1" bestFit="1" customWidth="1"/>
    <col min="12" max="12" width="8.5" style="1" bestFit="1" customWidth="1"/>
    <col min="13" max="13" width="7.1640625" style="1" bestFit="1" customWidth="1"/>
    <col min="14" max="14" width="7.83203125" style="1" bestFit="1" customWidth="1"/>
    <col min="15" max="15" width="8.5" style="1" bestFit="1" customWidth="1"/>
    <col min="16" max="16" width="7.5" style="1" bestFit="1" customWidth="1"/>
    <col min="17" max="17" width="7.1640625" style="1" bestFit="1" customWidth="1"/>
    <col min="18" max="18" width="7.5" style="1" bestFit="1" customWidth="1"/>
    <col min="19" max="20" width="8.5" style="1" bestFit="1" customWidth="1"/>
    <col min="21" max="21" width="7.5" style="1" bestFit="1" customWidth="1"/>
    <col min="22" max="22" width="9.5" style="1" bestFit="1" customWidth="1"/>
    <col min="23" max="23" width="9.6640625" style="1" bestFit="1" customWidth="1"/>
    <col min="24" max="25" width="10" style="1" bestFit="1" customWidth="1"/>
    <col min="26" max="26" width="7.1640625" style="1" bestFit="1" customWidth="1"/>
    <col min="27" max="27" width="6.83203125" style="1" bestFit="1" customWidth="1"/>
    <col min="28" max="28" width="7.33203125" style="1" bestFit="1" customWidth="1"/>
    <col min="29" max="29" width="8.5" style="1" bestFit="1" customWidth="1"/>
    <col min="30" max="31" width="7.1640625" style="1" bestFit="1" customWidth="1"/>
    <col min="32" max="16384" width="8.83203125" style="1"/>
  </cols>
  <sheetData>
    <row r="1" spans="1:35">
      <c r="A1" s="41" t="s">
        <v>61</v>
      </c>
    </row>
    <row r="2" spans="1:35" ht="17" thickBot="1">
      <c r="A2" s="56" t="s">
        <v>63</v>
      </c>
    </row>
    <row r="3" spans="1:35" ht="17" thickBot="1">
      <c r="A3" s="43"/>
      <c r="B3" s="44"/>
      <c r="C3" s="45"/>
      <c r="D3" s="49"/>
      <c r="E3" s="687" t="s">
        <v>30</v>
      </c>
      <c r="F3" s="688"/>
      <c r="G3" s="688"/>
      <c r="H3" s="689"/>
      <c r="I3" s="45"/>
      <c r="J3" s="49"/>
      <c r="K3" s="687" t="s">
        <v>31</v>
      </c>
      <c r="L3" s="688"/>
      <c r="M3" s="688"/>
      <c r="N3" s="688"/>
      <c r="O3" s="689"/>
      <c r="P3" s="45"/>
      <c r="Q3" s="49"/>
      <c r="R3" s="687" t="s">
        <v>59</v>
      </c>
      <c r="S3" s="688"/>
      <c r="T3" s="688"/>
      <c r="U3" s="688"/>
      <c r="V3" s="687" t="s">
        <v>58</v>
      </c>
      <c r="W3" s="688"/>
      <c r="X3" s="688"/>
      <c r="Y3" s="689"/>
      <c r="Z3" s="45"/>
      <c r="AA3" s="49"/>
      <c r="AB3" s="687" t="s">
        <v>32</v>
      </c>
      <c r="AC3" s="688"/>
      <c r="AD3" s="688"/>
      <c r="AE3" s="689"/>
      <c r="AF3" s="685" t="s">
        <v>65</v>
      </c>
      <c r="AG3" s="686"/>
    </row>
    <row r="4" spans="1:35" ht="17" thickBot="1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64</v>
      </c>
    </row>
    <row r="5" spans="1:35" ht="17" thickBot="1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69"/>
    </row>
    <row r="6" spans="1:35">
      <c r="A6" s="35">
        <v>1</v>
      </c>
      <c r="B6" s="36">
        <v>2018</v>
      </c>
      <c r="C6" s="33" t="s">
        <v>174</v>
      </c>
      <c r="D6" s="27" t="s">
        <v>0</v>
      </c>
      <c r="E6" s="7">
        <v>220.27144153331309</v>
      </c>
      <c r="F6" s="8">
        <v>78.745003511188216</v>
      </c>
      <c r="G6" s="8">
        <v>8.566474183914492</v>
      </c>
      <c r="H6" s="9">
        <v>1561.993503385861</v>
      </c>
      <c r="I6" s="6" t="s">
        <v>174</v>
      </c>
      <c r="J6" s="27" t="s">
        <v>0</v>
      </c>
      <c r="K6" s="7">
        <v>206.54423966882212</v>
      </c>
      <c r="L6" s="8">
        <v>77.349103907877748</v>
      </c>
      <c r="M6" s="8">
        <v>8.4297745249087086</v>
      </c>
      <c r="N6" s="8">
        <v>46.752826129324234</v>
      </c>
      <c r="O6" s="9">
        <v>1761.229009976825</v>
      </c>
      <c r="P6" s="6" t="s">
        <v>174</v>
      </c>
      <c r="Q6" s="27" t="s">
        <v>0</v>
      </c>
      <c r="R6" s="14">
        <v>1E-3</v>
      </c>
      <c r="S6" s="15">
        <v>1E-3</v>
      </c>
      <c r="T6" s="15">
        <v>1.0403319791417058E-2</v>
      </c>
      <c r="U6" s="15">
        <v>-245.98733272028821</v>
      </c>
      <c r="V6" s="7">
        <v>13.72820186449094</v>
      </c>
      <c r="W6" s="8">
        <v>1.3968996033104306</v>
      </c>
      <c r="X6" s="8">
        <v>0.12829633921436923</v>
      </c>
      <c r="Y6" s="9">
        <v>1E-3</v>
      </c>
      <c r="Z6" s="6" t="s">
        <v>174</v>
      </c>
      <c r="AA6" s="27" t="s">
        <v>0</v>
      </c>
      <c r="AB6" s="14">
        <v>76994.711518395896</v>
      </c>
      <c r="AC6" s="15">
        <v>79620.370744394677</v>
      </c>
      <c r="AD6" s="15">
        <v>82438.713899472641</v>
      </c>
      <c r="AE6" s="16">
        <v>7357.4300927930271</v>
      </c>
      <c r="AF6" s="143">
        <f>SUM(K6:M6)</f>
        <v>292.32311810160854</v>
      </c>
      <c r="AG6" s="144">
        <f>SUM(N6:O6)</f>
        <v>1807.9818361061491</v>
      </c>
      <c r="AH6" s="369"/>
      <c r="AI6" s="369"/>
    </row>
    <row r="7" spans="1:35">
      <c r="A7" s="37">
        <v>2</v>
      </c>
      <c r="B7" s="38">
        <v>2018</v>
      </c>
      <c r="C7" s="31" t="s">
        <v>174</v>
      </c>
      <c r="D7" s="28" t="s">
        <v>1</v>
      </c>
      <c r="E7" s="11">
        <v>95.488101027222939</v>
      </c>
      <c r="F7" s="12">
        <v>414.04894000327317</v>
      </c>
      <c r="G7" s="12">
        <v>33.830309604790408</v>
      </c>
      <c r="H7" s="13">
        <v>332.10403618883606</v>
      </c>
      <c r="I7" s="10" t="s">
        <v>174</v>
      </c>
      <c r="J7" s="28" t="s">
        <v>1</v>
      </c>
      <c r="K7" s="11">
        <v>95.065742750544857</v>
      </c>
      <c r="L7" s="12">
        <v>421.23042051868003</v>
      </c>
      <c r="M7" s="12">
        <v>33.888387268538111</v>
      </c>
      <c r="N7" s="12">
        <v>49.947741995221747</v>
      </c>
      <c r="O7" s="13">
        <v>4003.5527529301198</v>
      </c>
      <c r="P7" s="10" t="s">
        <v>174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-3721.3954587365056</v>
      </c>
      <c r="V7" s="11">
        <v>0.42335827667807513</v>
      </c>
      <c r="W7" s="12">
        <v>-7.1804805154068712</v>
      </c>
      <c r="X7" s="12">
        <v>-5.7077663747716834E-2</v>
      </c>
      <c r="Y7" s="13">
        <v>1E-3</v>
      </c>
      <c r="Z7" s="10" t="s">
        <v>174</v>
      </c>
      <c r="AA7" s="28" t="s">
        <v>1</v>
      </c>
      <c r="AB7" s="17">
        <v>78269.678446868507</v>
      </c>
      <c r="AC7" s="18">
        <v>79642.820568727533</v>
      </c>
      <c r="AD7" s="18">
        <v>83710.933407883771</v>
      </c>
      <c r="AE7" s="19">
        <v>6993.2141258114561</v>
      </c>
      <c r="AF7" s="145">
        <f t="shared" ref="AF7:AF70" si="0">SUM(K7:M7)</f>
        <v>550.18455053776302</v>
      </c>
      <c r="AG7" s="146">
        <f t="shared" ref="AG7:AG70" si="1">SUM(N7:O7)</f>
        <v>4053.5004949253416</v>
      </c>
    </row>
    <row r="8" spans="1:35">
      <c r="A8" s="37">
        <v>3</v>
      </c>
      <c r="B8" s="38">
        <v>2018</v>
      </c>
      <c r="C8" s="31" t="s">
        <v>174</v>
      </c>
      <c r="D8" s="28" t="s">
        <v>2</v>
      </c>
      <c r="E8" s="11">
        <v>97.0432125901619</v>
      </c>
      <c r="F8" s="12">
        <v>82.811970084565999</v>
      </c>
      <c r="G8" s="12">
        <v>6.430958799904948</v>
      </c>
      <c r="H8" s="13">
        <v>430.27491767376716</v>
      </c>
      <c r="I8" s="10" t="s">
        <v>174</v>
      </c>
      <c r="J8" s="28" t="s">
        <v>2</v>
      </c>
      <c r="K8" s="11">
        <v>101.39359082091103</v>
      </c>
      <c r="L8" s="12">
        <v>88.501306752352832</v>
      </c>
      <c r="M8" s="12">
        <v>6.7414787438819692</v>
      </c>
      <c r="N8" s="12">
        <v>30.359288697347235</v>
      </c>
      <c r="O8" s="13">
        <v>1182.1128043851922</v>
      </c>
      <c r="P8" s="10" t="s">
        <v>174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-782.19617540877221</v>
      </c>
      <c r="V8" s="11">
        <v>-4.3493782307491111</v>
      </c>
      <c r="W8" s="12">
        <v>-5.6883366677869072</v>
      </c>
      <c r="X8" s="12">
        <v>-0.30951994397702032</v>
      </c>
      <c r="Y8" s="13">
        <v>1E-3</v>
      </c>
      <c r="Z8" s="10" t="s">
        <v>174</v>
      </c>
      <c r="AA8" s="28" t="s">
        <v>2</v>
      </c>
      <c r="AB8" s="17">
        <v>79612.218468440988</v>
      </c>
      <c r="AC8" s="18">
        <v>80542.744492646016</v>
      </c>
      <c r="AD8" s="18">
        <v>85054.807221471885</v>
      </c>
      <c r="AE8" s="19">
        <v>7388.6490268978041</v>
      </c>
      <c r="AF8" s="145">
        <f t="shared" si="0"/>
        <v>196.63637631714582</v>
      </c>
      <c r="AG8" s="146">
        <f t="shared" si="1"/>
        <v>1212.4720930825395</v>
      </c>
    </row>
    <row r="9" spans="1:35">
      <c r="A9" s="37">
        <v>4</v>
      </c>
      <c r="B9" s="38">
        <v>2018</v>
      </c>
      <c r="C9" s="31" t="s">
        <v>174</v>
      </c>
      <c r="D9" s="28" t="s">
        <v>3</v>
      </c>
      <c r="E9" s="11">
        <v>58.980659438163087</v>
      </c>
      <c r="F9" s="12">
        <v>58.138044069897632</v>
      </c>
      <c r="G9" s="12">
        <v>5.1470242082273128</v>
      </c>
      <c r="H9" s="13">
        <v>312.95915404968326</v>
      </c>
      <c r="I9" s="10" t="s">
        <v>174</v>
      </c>
      <c r="J9" s="28" t="s">
        <v>3</v>
      </c>
      <c r="K9" s="11">
        <v>73.273547456555335</v>
      </c>
      <c r="L9" s="12">
        <v>76.396207453537443</v>
      </c>
      <c r="M9" s="12">
        <v>6.696183327515798</v>
      </c>
      <c r="N9" s="12">
        <v>18.402649429558494</v>
      </c>
      <c r="O9" s="13">
        <v>787.98536010137241</v>
      </c>
      <c r="P9" s="10" t="s">
        <v>174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-321.35190063860972</v>
      </c>
      <c r="V9" s="11">
        <v>-14.291888018392209</v>
      </c>
      <c r="W9" s="12">
        <v>-18.257163383640012</v>
      </c>
      <c r="X9" s="12">
        <v>-1.5481591192884854</v>
      </c>
      <c r="Y9" s="13">
        <v>-172.07495484263802</v>
      </c>
      <c r="Z9" s="10" t="s">
        <v>174</v>
      </c>
      <c r="AA9" s="28" t="s">
        <v>3</v>
      </c>
      <c r="AB9" s="17">
        <v>82538.734659109134</v>
      </c>
      <c r="AC9" s="18">
        <v>80704.781294578046</v>
      </c>
      <c r="AD9" s="18">
        <v>83859.823210750474</v>
      </c>
      <c r="AE9" s="19">
        <v>7730.6606277324245</v>
      </c>
      <c r="AF9" s="145">
        <f t="shared" si="0"/>
        <v>156.36593823760856</v>
      </c>
      <c r="AG9" s="146">
        <f t="shared" si="1"/>
        <v>806.38800953093096</v>
      </c>
    </row>
    <row r="10" spans="1:35">
      <c r="A10" s="37">
        <v>5</v>
      </c>
      <c r="B10" s="38">
        <v>2018</v>
      </c>
      <c r="C10" s="31" t="s">
        <v>174</v>
      </c>
      <c r="D10" s="28" t="s">
        <v>4</v>
      </c>
      <c r="E10" s="11">
        <v>45.1256387194585</v>
      </c>
      <c r="F10" s="12">
        <v>75.318898027449507</v>
      </c>
      <c r="G10" s="12">
        <v>7.0154824615355125</v>
      </c>
      <c r="H10" s="13">
        <v>1057.9985190946586</v>
      </c>
      <c r="I10" s="10" t="s">
        <v>174</v>
      </c>
      <c r="J10" s="28" t="s">
        <v>4</v>
      </c>
      <c r="K10" s="11">
        <v>33.471229836622001</v>
      </c>
      <c r="L10" s="12">
        <v>59.314386873693493</v>
      </c>
      <c r="M10" s="12">
        <v>5.4653074309244216</v>
      </c>
      <c r="N10" s="12">
        <v>15.41149788713399</v>
      </c>
      <c r="O10" s="13">
        <v>870.51106636488646</v>
      </c>
      <c r="P10" s="10" t="s">
        <v>174</v>
      </c>
      <c r="Q10" s="28" t="s">
        <v>4</v>
      </c>
      <c r="R10" s="17">
        <v>1E-3</v>
      </c>
      <c r="S10" s="18">
        <v>1E-3</v>
      </c>
      <c r="T10" s="18">
        <v>2.0159113226056735E-3</v>
      </c>
      <c r="U10" s="18">
        <v>1E-3</v>
      </c>
      <c r="V10" s="11">
        <v>11.655408882836507</v>
      </c>
      <c r="W10" s="12">
        <v>16.005511153756007</v>
      </c>
      <c r="X10" s="12">
        <v>1.5501591192884852</v>
      </c>
      <c r="Y10" s="13">
        <v>172.07695484263803</v>
      </c>
      <c r="Z10" s="10" t="s">
        <v>174</v>
      </c>
      <c r="AA10" s="28" t="s">
        <v>4</v>
      </c>
      <c r="AB10" s="17">
        <v>80982.491821146352</v>
      </c>
      <c r="AC10" s="18">
        <v>76980.306961163587</v>
      </c>
      <c r="AD10" s="18">
        <v>82303.256365208072</v>
      </c>
      <c r="AE10" s="19">
        <v>7211.1880737846532</v>
      </c>
      <c r="AF10" s="145">
        <f t="shared" si="0"/>
        <v>98.250924141239921</v>
      </c>
      <c r="AG10" s="146">
        <f t="shared" si="1"/>
        <v>885.92256425202049</v>
      </c>
    </row>
    <row r="11" spans="1:35">
      <c r="A11" s="37">
        <v>6</v>
      </c>
      <c r="B11" s="38">
        <v>2018</v>
      </c>
      <c r="C11" s="31" t="s">
        <v>174</v>
      </c>
      <c r="D11" s="28" t="s">
        <v>5</v>
      </c>
      <c r="E11" s="11">
        <v>53.86419945396409</v>
      </c>
      <c r="F11" s="12">
        <v>252.91926633769722</v>
      </c>
      <c r="G11" s="12">
        <v>27.319455338942891</v>
      </c>
      <c r="H11" s="13">
        <v>387.04263670514086</v>
      </c>
      <c r="I11" s="10" t="s">
        <v>174</v>
      </c>
      <c r="J11" s="28" t="s">
        <v>5</v>
      </c>
      <c r="K11" s="11">
        <v>44.797878595792078</v>
      </c>
      <c r="L11" s="12">
        <v>223.6504991370177</v>
      </c>
      <c r="M11" s="12">
        <v>23.76852887944677</v>
      </c>
      <c r="N11" s="12">
        <v>27.744910633943054</v>
      </c>
      <c r="O11" s="13">
        <v>2479.9422049503937</v>
      </c>
      <c r="P11" s="10" t="s">
        <v>174</v>
      </c>
      <c r="Q11" s="28" t="s">
        <v>5</v>
      </c>
      <c r="R11" s="17">
        <v>1E-3</v>
      </c>
      <c r="S11" s="18">
        <v>1E-3</v>
      </c>
      <c r="T11" s="18">
        <v>1.9860179629283854</v>
      </c>
      <c r="U11" s="18">
        <v>-2120.6434788791962</v>
      </c>
      <c r="V11" s="11">
        <v>9.0673208581720122</v>
      </c>
      <c r="W11" s="12">
        <v>29.269767200679553</v>
      </c>
      <c r="X11" s="12">
        <v>1.5669084965677371</v>
      </c>
      <c r="Y11" s="13">
        <v>1E-3</v>
      </c>
      <c r="Z11" s="10" t="s">
        <v>174</v>
      </c>
      <c r="AA11" s="28" t="s">
        <v>5</v>
      </c>
      <c r="AB11" s="17">
        <v>79943.816429671875</v>
      </c>
      <c r="AC11" s="18">
        <v>79057.510311513295</v>
      </c>
      <c r="AD11" s="18">
        <v>81688.960000000006</v>
      </c>
      <c r="AE11" s="19">
        <v>6873.29761940147</v>
      </c>
      <c r="AF11" s="145">
        <f t="shared" si="0"/>
        <v>292.21690661225654</v>
      </c>
      <c r="AG11" s="146">
        <f t="shared" si="1"/>
        <v>2507.6871155843369</v>
      </c>
    </row>
    <row r="12" spans="1:35" ht="17" thickBot="1">
      <c r="A12" s="39">
        <v>7</v>
      </c>
      <c r="B12" s="54">
        <v>2018</v>
      </c>
      <c r="C12" s="32" t="s">
        <v>174</v>
      </c>
      <c r="D12" s="29" t="s">
        <v>6</v>
      </c>
      <c r="E12" s="21">
        <v>183.8067391597861</v>
      </c>
      <c r="F12" s="22">
        <v>97.454661093996691</v>
      </c>
      <c r="G12" s="22">
        <v>9.4373695369141881</v>
      </c>
      <c r="H12" s="23">
        <v>164.06058957423608</v>
      </c>
      <c r="I12" s="20" t="s">
        <v>174</v>
      </c>
      <c r="J12" s="29" t="s">
        <v>6</v>
      </c>
      <c r="K12" s="21">
        <v>200.03376279282222</v>
      </c>
      <c r="L12" s="22">
        <v>112.99485848490889</v>
      </c>
      <c r="M12" s="22">
        <v>10.761976764971555</v>
      </c>
      <c r="N12" s="22">
        <v>28.592643368601252</v>
      </c>
      <c r="O12" s="23">
        <v>1750.0622792807349</v>
      </c>
      <c r="P12" s="20" t="s">
        <v>174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-1614.5933330751002</v>
      </c>
      <c r="V12" s="21">
        <v>-16.226023633036213</v>
      </c>
      <c r="W12" s="22">
        <v>-15.539197390912195</v>
      </c>
      <c r="X12" s="22">
        <v>-1.3236072280573694</v>
      </c>
      <c r="Y12" s="23">
        <v>1E-3</v>
      </c>
      <c r="Z12" s="20" t="s">
        <v>174</v>
      </c>
      <c r="AA12" s="29" t="s">
        <v>6</v>
      </c>
      <c r="AB12" s="24">
        <v>80365.71238316677</v>
      </c>
      <c r="AC12" s="25">
        <v>79191.634973012202</v>
      </c>
      <c r="AD12" s="25">
        <v>82110.303847000017</v>
      </c>
      <c r="AE12" s="26">
        <v>6862.6360620016167</v>
      </c>
      <c r="AF12" s="147">
        <f t="shared" si="0"/>
        <v>323.79059804270264</v>
      </c>
      <c r="AG12" s="148">
        <f t="shared" si="1"/>
        <v>1778.6549226493362</v>
      </c>
    </row>
    <row r="13" spans="1:35">
      <c r="A13" s="35">
        <v>1</v>
      </c>
      <c r="B13" s="36">
        <v>2019</v>
      </c>
      <c r="C13" s="33" t="s">
        <v>175</v>
      </c>
      <c r="D13" s="27" t="s">
        <v>0</v>
      </c>
      <c r="E13" s="7">
        <v>186.33400011616533</v>
      </c>
      <c r="F13" s="8">
        <v>76.321946504523282</v>
      </c>
      <c r="G13" s="8">
        <v>9.4161650088496032</v>
      </c>
      <c r="H13" s="9">
        <v>1575.7649413833647</v>
      </c>
      <c r="I13" s="6" t="s">
        <v>175</v>
      </c>
      <c r="J13" s="27" t="s">
        <v>0</v>
      </c>
      <c r="K13" s="7">
        <v>165.47749765330497</v>
      </c>
      <c r="L13" s="8">
        <v>64.581964460040382</v>
      </c>
      <c r="M13" s="8">
        <v>9.1628493827385604</v>
      </c>
      <c r="N13" s="8">
        <v>48.812905237149181</v>
      </c>
      <c r="O13" s="9">
        <v>1629.2170124773006</v>
      </c>
      <c r="P13" s="6" t="s">
        <v>175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-102.26397633108562</v>
      </c>
      <c r="V13" s="7">
        <v>20.857502462860293</v>
      </c>
      <c r="W13" s="8">
        <v>11.740982044482893</v>
      </c>
      <c r="X13" s="8">
        <v>0.2543156261110418</v>
      </c>
      <c r="Y13" s="9">
        <v>1E-3</v>
      </c>
      <c r="Z13" s="6" t="s">
        <v>175</v>
      </c>
      <c r="AA13" s="27" t="s">
        <v>0</v>
      </c>
      <c r="AB13" s="14">
        <v>85417.93795449895</v>
      </c>
      <c r="AC13" s="15">
        <v>84104.851356254134</v>
      </c>
      <c r="AD13" s="15">
        <v>92682.996853744698</v>
      </c>
      <c r="AE13" s="16">
        <v>7658.4693905220738</v>
      </c>
      <c r="AF13" s="143">
        <f t="shared" si="0"/>
        <v>239.2223114960839</v>
      </c>
      <c r="AG13" s="144">
        <f t="shared" si="1"/>
        <v>1678.0299177144498</v>
      </c>
    </row>
    <row r="14" spans="1:35">
      <c r="A14" s="37">
        <v>2</v>
      </c>
      <c r="B14" s="38">
        <v>2019</v>
      </c>
      <c r="C14" s="31" t="s">
        <v>175</v>
      </c>
      <c r="D14" s="28" t="s">
        <v>1</v>
      </c>
      <c r="E14" s="11">
        <v>12.132843172032493</v>
      </c>
      <c r="F14" s="12">
        <v>291.57607408016167</v>
      </c>
      <c r="G14" s="12">
        <v>36.625808377650003</v>
      </c>
      <c r="H14" s="13">
        <v>332.822462956442</v>
      </c>
      <c r="I14" s="10" t="s">
        <v>175</v>
      </c>
      <c r="J14" s="28" t="s">
        <v>1</v>
      </c>
      <c r="K14" s="11">
        <v>61.335391274896779</v>
      </c>
      <c r="L14" s="12">
        <v>358.93310842977098</v>
      </c>
      <c r="M14" s="12">
        <v>38.237631978028112</v>
      </c>
      <c r="N14" s="12">
        <v>42.354902726248163</v>
      </c>
      <c r="O14" s="13">
        <v>2751.7227367423352</v>
      </c>
      <c r="P14" s="10" t="s">
        <v>175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-2461.2541765121414</v>
      </c>
      <c r="V14" s="11">
        <v>-49.201548102864329</v>
      </c>
      <c r="W14" s="12">
        <v>-67.356034349609217</v>
      </c>
      <c r="X14" s="12">
        <v>-1.6108236003781105</v>
      </c>
      <c r="Y14" s="13">
        <v>1E-3</v>
      </c>
      <c r="Z14" s="10" t="s">
        <v>175</v>
      </c>
      <c r="AA14" s="28" t="s">
        <v>1</v>
      </c>
      <c r="AB14" s="17">
        <v>116814.58468883472</v>
      </c>
      <c r="AC14" s="18">
        <v>84375.489801099437</v>
      </c>
      <c r="AD14" s="18">
        <v>93957.934910447497</v>
      </c>
      <c r="AE14" s="19">
        <v>7294.4805031470296</v>
      </c>
      <c r="AF14" s="145">
        <f t="shared" si="0"/>
        <v>458.50613168269587</v>
      </c>
      <c r="AG14" s="146">
        <f t="shared" si="1"/>
        <v>2794.0776394685836</v>
      </c>
    </row>
    <row r="15" spans="1:35">
      <c r="A15" s="37">
        <v>3</v>
      </c>
      <c r="B15" s="38">
        <v>2019</v>
      </c>
      <c r="C15" s="31" t="s">
        <v>175</v>
      </c>
      <c r="D15" s="28" t="s">
        <v>2</v>
      </c>
      <c r="E15" s="11">
        <v>83.138746843450406</v>
      </c>
      <c r="F15" s="12">
        <v>79.450285185623017</v>
      </c>
      <c r="G15" s="12">
        <v>6.9747877854562628</v>
      </c>
      <c r="H15" s="13">
        <v>428.32083878628384</v>
      </c>
      <c r="I15" s="10" t="s">
        <v>175</v>
      </c>
      <c r="J15" s="28" t="s">
        <v>2</v>
      </c>
      <c r="K15" s="11">
        <v>65.269346217088312</v>
      </c>
      <c r="L15" s="12">
        <v>78.905477951156669</v>
      </c>
      <c r="M15" s="12">
        <v>7.6382370922186773</v>
      </c>
      <c r="N15" s="12">
        <v>38.41542915517514</v>
      </c>
      <c r="O15" s="13">
        <v>1163.0842043762896</v>
      </c>
      <c r="P15" s="10" t="s">
        <v>175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-773.1777947451809</v>
      </c>
      <c r="V15" s="11">
        <v>17.870400626362084</v>
      </c>
      <c r="W15" s="12">
        <v>0.54580723446635171</v>
      </c>
      <c r="X15" s="12">
        <v>-0.66244930676241431</v>
      </c>
      <c r="Y15" s="13">
        <v>1E-3</v>
      </c>
      <c r="Z15" s="10" t="s">
        <v>175</v>
      </c>
      <c r="AA15" s="28" t="s">
        <v>2</v>
      </c>
      <c r="AB15" s="17">
        <v>115468.33818346678</v>
      </c>
      <c r="AC15" s="18">
        <v>82644.759844931308</v>
      </c>
      <c r="AD15" s="18">
        <v>95301.385709961207</v>
      </c>
      <c r="AE15" s="19">
        <v>7689.6351232765537</v>
      </c>
      <c r="AF15" s="145">
        <f t="shared" si="0"/>
        <v>151.81306126046366</v>
      </c>
      <c r="AG15" s="146">
        <f t="shared" si="1"/>
        <v>1201.4996335314647</v>
      </c>
    </row>
    <row r="16" spans="1:35">
      <c r="A16" s="37">
        <v>4</v>
      </c>
      <c r="B16" s="38">
        <v>2019</v>
      </c>
      <c r="C16" s="31" t="s">
        <v>175</v>
      </c>
      <c r="D16" s="28" t="s">
        <v>3</v>
      </c>
      <c r="E16" s="11">
        <v>52.447875297286458</v>
      </c>
      <c r="F16" s="12">
        <v>56.89881934659202</v>
      </c>
      <c r="G16" s="12">
        <v>5.6250543220431437</v>
      </c>
      <c r="H16" s="13">
        <v>320.97592000891132</v>
      </c>
      <c r="I16" s="10" t="s">
        <v>175</v>
      </c>
      <c r="J16" s="28" t="s">
        <v>3</v>
      </c>
      <c r="K16" s="11">
        <v>50.249678419034481</v>
      </c>
      <c r="L16" s="12">
        <v>65.855158030622448</v>
      </c>
      <c r="M16" s="12">
        <v>7.3389485345607133</v>
      </c>
      <c r="N16" s="12">
        <v>20.03531304948169</v>
      </c>
      <c r="O16" s="13">
        <v>797.45451246377388</v>
      </c>
      <c r="P16" s="10" t="s">
        <v>175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-340.90722596169792</v>
      </c>
      <c r="V16" s="11">
        <v>2.199196878251978</v>
      </c>
      <c r="W16" s="12">
        <v>-8.9553386840304157</v>
      </c>
      <c r="X16" s="12">
        <v>-1.7128942125175708</v>
      </c>
      <c r="Y16" s="13">
        <v>-155.60467954264638</v>
      </c>
      <c r="Z16" s="10" t="s">
        <v>175</v>
      </c>
      <c r="AA16" s="28" t="s">
        <v>3</v>
      </c>
      <c r="AB16" s="17">
        <v>112779.04228066416</v>
      </c>
      <c r="AC16" s="18">
        <v>83391.92300691425</v>
      </c>
      <c r="AD16" s="18">
        <v>94538.899138441804</v>
      </c>
      <c r="AE16" s="19">
        <v>8031.383887663862</v>
      </c>
      <c r="AF16" s="145">
        <f t="shared" si="0"/>
        <v>123.44378498421764</v>
      </c>
      <c r="AG16" s="146">
        <f t="shared" si="1"/>
        <v>817.4898255132556</v>
      </c>
    </row>
    <row r="17" spans="1:33">
      <c r="A17" s="37">
        <v>5</v>
      </c>
      <c r="B17" s="38">
        <v>2019</v>
      </c>
      <c r="C17" s="31" t="s">
        <v>175</v>
      </c>
      <c r="D17" s="28" t="s">
        <v>4</v>
      </c>
      <c r="E17" s="11">
        <v>41.629981373540417</v>
      </c>
      <c r="F17" s="12">
        <v>75.241909122648011</v>
      </c>
      <c r="G17" s="12">
        <v>7.6679815767658868</v>
      </c>
      <c r="H17" s="13">
        <v>1092.5759847959112</v>
      </c>
      <c r="I17" s="10" t="s">
        <v>175</v>
      </c>
      <c r="J17" s="28" t="s">
        <v>4</v>
      </c>
      <c r="K17" s="11">
        <v>21.812477440391753</v>
      </c>
      <c r="L17" s="12">
        <v>50.557987276052195</v>
      </c>
      <c r="M17" s="12">
        <v>6.0462216402043119</v>
      </c>
      <c r="N17" s="12">
        <v>20.403644237541432</v>
      </c>
      <c r="O17" s="13">
        <v>916.56666101572318</v>
      </c>
      <c r="P17" s="10" t="s">
        <v>175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19.818503933148662</v>
      </c>
      <c r="W17" s="12">
        <v>24.68492184659581</v>
      </c>
      <c r="X17" s="12">
        <v>1.6227599365615739</v>
      </c>
      <c r="Y17" s="13">
        <v>155.60667954264639</v>
      </c>
      <c r="Z17" s="10" t="s">
        <v>175</v>
      </c>
      <c r="AA17" s="28" t="s">
        <v>4</v>
      </c>
      <c r="AB17" s="17">
        <v>113978.35848069626</v>
      </c>
      <c r="AC17" s="18">
        <v>80563.287497993719</v>
      </c>
      <c r="AD17" s="18">
        <v>92984.107830540699</v>
      </c>
      <c r="AE17" s="19">
        <v>7512.1464678240482</v>
      </c>
      <c r="AF17" s="145">
        <f t="shared" si="0"/>
        <v>78.416686356648256</v>
      </c>
      <c r="AG17" s="146">
        <f t="shared" si="1"/>
        <v>936.97030525326466</v>
      </c>
    </row>
    <row r="18" spans="1:33">
      <c r="A18" s="37">
        <v>6</v>
      </c>
      <c r="B18" s="38">
        <v>2019</v>
      </c>
      <c r="C18" s="31" t="s">
        <v>175</v>
      </c>
      <c r="D18" s="28" t="s">
        <v>5</v>
      </c>
      <c r="E18" s="11">
        <v>5.2356156894821622</v>
      </c>
      <c r="F18" s="12">
        <v>230.94391369543675</v>
      </c>
      <c r="G18" s="12">
        <v>29.671647752641178</v>
      </c>
      <c r="H18" s="13">
        <v>395.94292567485763</v>
      </c>
      <c r="I18" s="10" t="s">
        <v>175</v>
      </c>
      <c r="J18" s="28" t="s">
        <v>5</v>
      </c>
      <c r="K18" s="11">
        <v>27.701338476704237</v>
      </c>
      <c r="L18" s="12">
        <v>187.14912492844354</v>
      </c>
      <c r="M18" s="12">
        <v>26.002393228534011</v>
      </c>
      <c r="N18" s="12">
        <v>32.663953940563218</v>
      </c>
      <c r="O18" s="13">
        <v>2164.8034090923484</v>
      </c>
      <c r="P18" s="10" t="s">
        <v>175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-1801.5234373580545</v>
      </c>
      <c r="V18" s="11">
        <v>-22.464722787222101</v>
      </c>
      <c r="W18" s="12">
        <v>43.79578876699329</v>
      </c>
      <c r="X18" s="12">
        <v>3.6702545241071722</v>
      </c>
      <c r="Y18" s="13">
        <v>1E-3</v>
      </c>
      <c r="Z18" s="10" t="s">
        <v>175</v>
      </c>
      <c r="AA18" s="28" t="s">
        <v>5</v>
      </c>
      <c r="AB18" s="17">
        <v>115472.06119184487</v>
      </c>
      <c r="AC18" s="18">
        <v>83529.246421251009</v>
      </c>
      <c r="AD18" s="18">
        <v>91890.49585956872</v>
      </c>
      <c r="AE18" s="19">
        <v>7172.6063430966306</v>
      </c>
      <c r="AF18" s="145">
        <f t="shared" si="0"/>
        <v>240.85285663368177</v>
      </c>
      <c r="AG18" s="146">
        <f t="shared" si="1"/>
        <v>2197.4673630329116</v>
      </c>
    </row>
    <row r="19" spans="1:33" ht="17" thickBot="1">
      <c r="A19" s="39">
        <v>7</v>
      </c>
      <c r="B19" s="54">
        <v>2019</v>
      </c>
      <c r="C19" s="32" t="s">
        <v>175</v>
      </c>
      <c r="D19" s="29" t="s">
        <v>6</v>
      </c>
      <c r="E19" s="21">
        <v>138.70850325758119</v>
      </c>
      <c r="F19" s="22">
        <v>91.474429510957933</v>
      </c>
      <c r="G19" s="22">
        <v>10.251169962575135</v>
      </c>
      <c r="H19" s="23">
        <v>170.47301319679659</v>
      </c>
      <c r="I19" s="20" t="s">
        <v>175</v>
      </c>
      <c r="J19" s="29" t="s">
        <v>6</v>
      </c>
      <c r="K19" s="21">
        <v>127.78183626811779</v>
      </c>
      <c r="L19" s="22">
        <v>95.924556369856631</v>
      </c>
      <c r="M19" s="22">
        <v>11.806332929696831</v>
      </c>
      <c r="N19" s="22">
        <v>29.068207925439669</v>
      </c>
      <c r="O19" s="23">
        <v>1578.2202724810707</v>
      </c>
      <c r="P19" s="20" t="s">
        <v>175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-1436.8144672097139</v>
      </c>
      <c r="V19" s="21">
        <v>10.927666989463415</v>
      </c>
      <c r="W19" s="22">
        <v>-4.4491268588987136</v>
      </c>
      <c r="X19" s="22">
        <v>-1.5541629671216934</v>
      </c>
      <c r="Y19" s="23">
        <v>1E-3</v>
      </c>
      <c r="Z19" s="20" t="s">
        <v>175</v>
      </c>
      <c r="AA19" s="29" t="s">
        <v>6</v>
      </c>
      <c r="AB19" s="24">
        <v>114709.04915802437</v>
      </c>
      <c r="AC19" s="25">
        <v>83658.274626234517</v>
      </c>
      <c r="AD19" s="25">
        <v>92309.544706644461</v>
      </c>
      <c r="AE19" s="26">
        <v>7163.7069264242691</v>
      </c>
      <c r="AF19" s="147">
        <f t="shared" si="0"/>
        <v>235.51272556767125</v>
      </c>
      <c r="AG19" s="148">
        <f t="shared" si="1"/>
        <v>1607.2884804065104</v>
      </c>
    </row>
    <row r="20" spans="1:33">
      <c r="A20" s="35">
        <v>1</v>
      </c>
      <c r="B20" s="36">
        <v>2020</v>
      </c>
      <c r="C20" s="33" t="s">
        <v>176</v>
      </c>
      <c r="D20" s="27" t="s">
        <v>0</v>
      </c>
      <c r="E20" s="7">
        <v>238.56421983086074</v>
      </c>
      <c r="F20" s="8">
        <v>87.320234430687023</v>
      </c>
      <c r="G20" s="8">
        <v>9.3780202482736801</v>
      </c>
      <c r="H20" s="9">
        <v>1647.4247272470202</v>
      </c>
      <c r="I20" s="6" t="s">
        <v>176</v>
      </c>
      <c r="J20" s="27" t="s">
        <v>0</v>
      </c>
      <c r="K20" s="7">
        <v>165.48338606607976</v>
      </c>
      <c r="L20" s="8">
        <v>76.046232295765208</v>
      </c>
      <c r="M20" s="8">
        <v>9.3623690953886918</v>
      </c>
      <c r="N20" s="8">
        <v>60.366087848058342</v>
      </c>
      <c r="O20" s="9">
        <v>2179.1709173776317</v>
      </c>
      <c r="P20" s="6" t="s">
        <v>176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-592.11127797867027</v>
      </c>
      <c r="V20" s="7">
        <v>73.081833764780981</v>
      </c>
      <c r="W20" s="8">
        <v>11.275002134921811</v>
      </c>
      <c r="X20" s="8">
        <v>1.6651152884987447E-2</v>
      </c>
      <c r="Y20" s="9">
        <v>1E-3</v>
      </c>
      <c r="Z20" s="6" t="s">
        <v>176</v>
      </c>
      <c r="AA20" s="27" t="s">
        <v>0</v>
      </c>
      <c r="AB20" s="14">
        <v>129239.17169654203</v>
      </c>
      <c r="AC20" s="15">
        <v>102920.07246398565</v>
      </c>
      <c r="AD20" s="15">
        <v>92628.07551331073</v>
      </c>
      <c r="AE20" s="16">
        <v>7876.8676552294964</v>
      </c>
      <c r="AF20" s="143">
        <f t="shared" si="0"/>
        <v>250.89198745723365</v>
      </c>
      <c r="AG20" s="144">
        <f t="shared" si="1"/>
        <v>2239.5370052256899</v>
      </c>
    </row>
    <row r="21" spans="1:33">
      <c r="A21" s="37">
        <v>2</v>
      </c>
      <c r="B21" s="38">
        <v>2020</v>
      </c>
      <c r="C21" s="31" t="s">
        <v>176</v>
      </c>
      <c r="D21" s="28" t="s">
        <v>1</v>
      </c>
      <c r="E21" s="11">
        <v>12.863697436558544</v>
      </c>
      <c r="F21" s="12">
        <v>336.95829291643406</v>
      </c>
      <c r="G21" s="12">
        <v>36.975875781196287</v>
      </c>
      <c r="H21" s="13">
        <v>345.87180366283866</v>
      </c>
      <c r="I21" s="10" t="s">
        <v>176</v>
      </c>
      <c r="J21" s="28" t="s">
        <v>1</v>
      </c>
      <c r="K21" s="11">
        <v>76.236540649857773</v>
      </c>
      <c r="L21" s="12">
        <v>421.29265855215709</v>
      </c>
      <c r="M21" s="12">
        <v>38.48544498055751</v>
      </c>
      <c r="N21" s="12">
        <v>39.854560446107072</v>
      </c>
      <c r="O21" s="13">
        <v>3258.3810118977008</v>
      </c>
      <c r="P21" s="10" t="s">
        <v>176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-2952.3627686809687</v>
      </c>
      <c r="V21" s="11">
        <v>-63.371843213299385</v>
      </c>
      <c r="W21" s="12">
        <v>-84.333365635722899</v>
      </c>
      <c r="X21" s="12">
        <v>-1.508569199361208</v>
      </c>
      <c r="Y21" s="13">
        <v>1E-3</v>
      </c>
      <c r="Z21" s="10" t="s">
        <v>176</v>
      </c>
      <c r="AA21" s="28" t="s">
        <v>1</v>
      </c>
      <c r="AB21" s="17">
        <v>130581.96954579565</v>
      </c>
      <c r="AC21" s="18">
        <v>102641.58397790455</v>
      </c>
      <c r="AD21" s="18">
        <v>93903.401435542197</v>
      </c>
      <c r="AE21" s="19">
        <v>7513.0478391134775</v>
      </c>
      <c r="AF21" s="145">
        <f t="shared" si="0"/>
        <v>536.0146441825724</v>
      </c>
      <c r="AG21" s="146">
        <f t="shared" si="1"/>
        <v>3298.2355723438077</v>
      </c>
    </row>
    <row r="22" spans="1:33">
      <c r="A22" s="37">
        <v>3</v>
      </c>
      <c r="B22" s="38">
        <v>2020</v>
      </c>
      <c r="C22" s="31" t="s">
        <v>176</v>
      </c>
      <c r="D22" s="28" t="s">
        <v>2</v>
      </c>
      <c r="E22" s="11">
        <v>88.179506784200697</v>
      </c>
      <c r="F22" s="12">
        <v>92.121955029546285</v>
      </c>
      <c r="G22" s="12">
        <v>7.0415305404653505</v>
      </c>
      <c r="H22" s="13">
        <v>444.6836690411148</v>
      </c>
      <c r="I22" s="10" t="s">
        <v>176</v>
      </c>
      <c r="J22" s="28" t="s">
        <v>2</v>
      </c>
      <c r="K22" s="11">
        <v>82.193837031769178</v>
      </c>
      <c r="L22" s="12">
        <v>92.014921440090035</v>
      </c>
      <c r="M22" s="12">
        <v>7.8288579995276493</v>
      </c>
      <c r="N22" s="12">
        <v>44.358249740200073</v>
      </c>
      <c r="O22" s="13">
        <v>1340.1533510179358</v>
      </c>
      <c r="P22" s="10" t="s">
        <v>176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-939.82693171702113</v>
      </c>
      <c r="V22" s="11">
        <v>5.98666975243151</v>
      </c>
      <c r="W22" s="12">
        <v>0.10803358945627824</v>
      </c>
      <c r="X22" s="12">
        <v>-0.78632745906229828</v>
      </c>
      <c r="Y22" s="13">
        <v>1E-3</v>
      </c>
      <c r="Z22" s="10" t="s">
        <v>176</v>
      </c>
      <c r="AA22" s="28" t="s">
        <v>2</v>
      </c>
      <c r="AB22" s="17">
        <v>129221.99870277254</v>
      </c>
      <c r="AC22" s="18">
        <v>100927.87881973507</v>
      </c>
      <c r="AD22" s="18">
        <v>95245.840304043071</v>
      </c>
      <c r="AE22" s="19">
        <v>7908.0656036307937</v>
      </c>
      <c r="AF22" s="145">
        <f t="shared" si="0"/>
        <v>182.03761647138685</v>
      </c>
      <c r="AG22" s="146">
        <f t="shared" si="1"/>
        <v>1384.511600758136</v>
      </c>
    </row>
    <row r="23" spans="1:33">
      <c r="A23" s="37">
        <v>4</v>
      </c>
      <c r="B23" s="38">
        <v>2020</v>
      </c>
      <c r="C23" s="31" t="s">
        <v>176</v>
      </c>
      <c r="D23" s="28" t="s">
        <v>3</v>
      </c>
      <c r="E23" s="11">
        <v>57.227611797022838</v>
      </c>
      <c r="F23" s="12">
        <v>65.98248748148329</v>
      </c>
      <c r="G23" s="12">
        <v>5.6688732759452378</v>
      </c>
      <c r="H23" s="13">
        <v>334.44031739279046</v>
      </c>
      <c r="I23" s="10" t="s">
        <v>176</v>
      </c>
      <c r="J23" s="28" t="s">
        <v>3</v>
      </c>
      <c r="K23" s="11">
        <v>60.441482534028097</v>
      </c>
      <c r="L23" s="12">
        <v>75.955189953030811</v>
      </c>
      <c r="M23" s="12">
        <v>7.4049931322422005</v>
      </c>
      <c r="N23" s="12">
        <v>21.719325730668675</v>
      </c>
      <c r="O23" s="13">
        <v>940.88816091263675</v>
      </c>
      <c r="P23" s="10" t="s">
        <v>176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-591.86691549653324</v>
      </c>
      <c r="V23" s="11">
        <v>-3.2128707370052592</v>
      </c>
      <c r="W23" s="12">
        <v>-9.9717024715475286</v>
      </c>
      <c r="X23" s="12">
        <v>-1.7351198562969627</v>
      </c>
      <c r="Y23" s="13">
        <v>-36.298253753981761</v>
      </c>
      <c r="Z23" s="10" t="s">
        <v>176</v>
      </c>
      <c r="AA23" s="28" t="s">
        <v>3</v>
      </c>
      <c r="AB23" s="17">
        <v>132085.18483331805</v>
      </c>
      <c r="AC23" s="18">
        <v>102209.28793574733</v>
      </c>
      <c r="AD23" s="18">
        <v>94484.002381881641</v>
      </c>
      <c r="AE23" s="19">
        <v>8249.6304758726365</v>
      </c>
      <c r="AF23" s="145">
        <f t="shared" si="0"/>
        <v>143.8016656193011</v>
      </c>
      <c r="AG23" s="146">
        <f t="shared" si="1"/>
        <v>962.60748664330538</v>
      </c>
    </row>
    <row r="24" spans="1:33">
      <c r="A24" s="37">
        <v>5</v>
      </c>
      <c r="B24" s="38">
        <v>2020</v>
      </c>
      <c r="C24" s="31" t="s">
        <v>176</v>
      </c>
      <c r="D24" s="28" t="s">
        <v>4</v>
      </c>
      <c r="E24" s="11">
        <v>44.923461692459242</v>
      </c>
      <c r="F24" s="12">
        <v>87.229132485306764</v>
      </c>
      <c r="G24" s="12">
        <v>7.7279261310494078</v>
      </c>
      <c r="H24" s="13">
        <v>1139.4199061005652</v>
      </c>
      <c r="I24" s="10" t="s">
        <v>176</v>
      </c>
      <c r="J24" s="28" t="s">
        <v>4</v>
      </c>
      <c r="K24" s="11">
        <v>26.161685293422082</v>
      </c>
      <c r="L24" s="12">
        <v>57.628032536361886</v>
      </c>
      <c r="M24" s="12">
        <v>6.1490042514687016</v>
      </c>
      <c r="N24" s="12">
        <v>24.703602285316819</v>
      </c>
      <c r="O24" s="13">
        <v>1078.4170500612668</v>
      </c>
      <c r="P24" s="10" t="s">
        <v>176</v>
      </c>
      <c r="Q24" s="28" t="s">
        <v>4</v>
      </c>
      <c r="R24" s="17">
        <v>1E-3</v>
      </c>
      <c r="S24" s="18">
        <v>1E-3</v>
      </c>
      <c r="T24" s="18">
        <v>1E-3</v>
      </c>
      <c r="U24" s="18">
        <v>1E-3</v>
      </c>
      <c r="V24" s="11">
        <v>18.762776399037168</v>
      </c>
      <c r="W24" s="12">
        <v>29.602099948944858</v>
      </c>
      <c r="X24" s="12">
        <v>1.5799218795807055</v>
      </c>
      <c r="Y24" s="13">
        <v>36.300253753981757</v>
      </c>
      <c r="Z24" s="10" t="s">
        <v>176</v>
      </c>
      <c r="AA24" s="28" t="s">
        <v>4</v>
      </c>
      <c r="AB24" s="17">
        <v>131225.34717077491</v>
      </c>
      <c r="AC24" s="18">
        <v>98664.075475588965</v>
      </c>
      <c r="AD24" s="18">
        <v>92930.407172830048</v>
      </c>
      <c r="AE24" s="19">
        <v>7730.5474560390985</v>
      </c>
      <c r="AF24" s="145">
        <f t="shared" si="0"/>
        <v>89.938722081252664</v>
      </c>
      <c r="AG24" s="146">
        <f t="shared" si="1"/>
        <v>1103.1206523465835</v>
      </c>
    </row>
    <row r="25" spans="1:33">
      <c r="A25" s="37">
        <v>6</v>
      </c>
      <c r="B25" s="38">
        <v>2020</v>
      </c>
      <c r="C25" s="31" t="s">
        <v>176</v>
      </c>
      <c r="D25" s="28" t="s">
        <v>5</v>
      </c>
      <c r="E25" s="11">
        <v>5.6442318331685444</v>
      </c>
      <c r="F25" s="12">
        <v>268.07534516265775</v>
      </c>
      <c r="G25" s="12">
        <v>29.909849317503056</v>
      </c>
      <c r="H25" s="13">
        <v>413.43729708040587</v>
      </c>
      <c r="I25" s="10" t="s">
        <v>176</v>
      </c>
      <c r="J25" s="28" t="s">
        <v>5</v>
      </c>
      <c r="K25" s="11">
        <v>32.434357206993347</v>
      </c>
      <c r="L25" s="12">
        <v>210.91559975277875</v>
      </c>
      <c r="M25" s="12">
        <v>25.999007399398465</v>
      </c>
      <c r="N25" s="12">
        <v>38.710749435438835</v>
      </c>
      <c r="O25" s="13">
        <v>2593.5559910617717</v>
      </c>
      <c r="P25" s="10" t="s">
        <v>176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-2218.8284434168045</v>
      </c>
      <c r="V25" s="11">
        <v>-26.789125373824781</v>
      </c>
      <c r="W25" s="12">
        <v>57.160745409878963</v>
      </c>
      <c r="X25" s="12">
        <v>3.9118419181046229</v>
      </c>
      <c r="Y25" s="13">
        <v>1E-3</v>
      </c>
      <c r="Z25" s="10" t="s">
        <v>176</v>
      </c>
      <c r="AA25" s="28" t="s">
        <v>5</v>
      </c>
      <c r="AB25" s="17">
        <v>132737.59757009661</v>
      </c>
      <c r="AC25" s="18">
        <v>102556.833103179</v>
      </c>
      <c r="AD25" s="18">
        <v>91837.278736103035</v>
      </c>
      <c r="AE25" s="19">
        <v>7390.0731751888552</v>
      </c>
      <c r="AF25" s="145">
        <f t="shared" si="0"/>
        <v>269.34896435917057</v>
      </c>
      <c r="AG25" s="146">
        <f t="shared" si="1"/>
        <v>2632.2667404972103</v>
      </c>
    </row>
    <row r="26" spans="1:33" ht="17" thickBot="1">
      <c r="A26" s="39">
        <v>7</v>
      </c>
      <c r="B26" s="54">
        <v>2020</v>
      </c>
      <c r="C26" s="32" t="s">
        <v>176</v>
      </c>
      <c r="D26" s="29" t="s">
        <v>6</v>
      </c>
      <c r="E26" s="21">
        <v>150.17043735819405</v>
      </c>
      <c r="F26" s="22">
        <v>106.02349868231809</v>
      </c>
      <c r="G26" s="22">
        <v>10.330725884655466</v>
      </c>
      <c r="H26" s="23">
        <v>177.93136131218012</v>
      </c>
      <c r="I26" s="20" t="s">
        <v>176</v>
      </c>
      <c r="J26" s="29" t="s">
        <v>6</v>
      </c>
      <c r="K26" s="21">
        <v>154.62187795031429</v>
      </c>
      <c r="L26" s="22">
        <v>109.85831165824959</v>
      </c>
      <c r="M26" s="22">
        <v>11.803124320505313</v>
      </c>
      <c r="N26" s="22">
        <v>30.048631217487035</v>
      </c>
      <c r="O26" s="23">
        <v>1837.3229820727634</v>
      </c>
      <c r="P26" s="20" t="s">
        <v>176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-1689.4392519780704</v>
      </c>
      <c r="V26" s="21">
        <v>-4.4504405921202306</v>
      </c>
      <c r="W26" s="22">
        <v>-3.8338129759314903</v>
      </c>
      <c r="X26" s="22">
        <v>-1.4713984358498471</v>
      </c>
      <c r="Y26" s="23">
        <v>1E-3</v>
      </c>
      <c r="Z26" s="20" t="s">
        <v>176</v>
      </c>
      <c r="AA26" s="29" t="s">
        <v>6</v>
      </c>
      <c r="AB26" s="24">
        <v>132709.1286214201</v>
      </c>
      <c r="AC26" s="25">
        <v>102443.73787619323</v>
      </c>
      <c r="AD26" s="25">
        <v>92252.255373568434</v>
      </c>
      <c r="AE26" s="26">
        <v>7382.1630283707509</v>
      </c>
      <c r="AF26" s="147">
        <f t="shared" si="0"/>
        <v>276.28331392906921</v>
      </c>
      <c r="AG26" s="148">
        <f t="shared" si="1"/>
        <v>1867.3716132902505</v>
      </c>
    </row>
    <row r="27" spans="1:33">
      <c r="A27" s="35">
        <v>1</v>
      </c>
      <c r="B27" s="36">
        <v>2021</v>
      </c>
      <c r="C27" s="33" t="s">
        <v>177</v>
      </c>
      <c r="D27" s="27" t="s">
        <v>0</v>
      </c>
      <c r="E27" s="7">
        <v>245.98371454400711</v>
      </c>
      <c r="F27" s="8">
        <v>91.494260652669553</v>
      </c>
      <c r="G27" s="8">
        <v>9.9577774093088909</v>
      </c>
      <c r="H27" s="9">
        <v>1709.8366753428684</v>
      </c>
      <c r="I27" s="6" t="s">
        <v>177</v>
      </c>
      <c r="J27" s="27" t="s">
        <v>0</v>
      </c>
      <c r="K27" s="7">
        <v>169.97277186945331</v>
      </c>
      <c r="L27" s="8">
        <v>79.730490553682117</v>
      </c>
      <c r="M27" s="8">
        <v>9.9054700490661673</v>
      </c>
      <c r="N27" s="8">
        <v>61.145209362201392</v>
      </c>
      <c r="O27" s="9">
        <v>2281.5608222365422</v>
      </c>
      <c r="P27" s="6" t="s">
        <v>177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-632.86835625587537</v>
      </c>
      <c r="V27" s="7">
        <v>76.011942674553865</v>
      </c>
      <c r="W27" s="8">
        <v>11.764770098987425</v>
      </c>
      <c r="X27" s="8">
        <v>5.3307360242721126E-2</v>
      </c>
      <c r="Y27" s="9">
        <v>1E-3</v>
      </c>
      <c r="Z27" s="6" t="s">
        <v>177</v>
      </c>
      <c r="AA27" s="27" t="s">
        <v>0</v>
      </c>
      <c r="AB27" s="14">
        <v>136698.74209447537</v>
      </c>
      <c r="AC27" s="15">
        <v>106437.51910141602</v>
      </c>
      <c r="AD27" s="15">
        <v>95261.3104785506</v>
      </c>
      <c r="AE27" s="16">
        <v>8132.8808152698675</v>
      </c>
      <c r="AF27" s="143">
        <f t="shared" si="0"/>
        <v>259.60873247220161</v>
      </c>
      <c r="AG27" s="144">
        <f t="shared" si="1"/>
        <v>2342.7060315987437</v>
      </c>
    </row>
    <row r="28" spans="1:33">
      <c r="A28" s="37">
        <v>2</v>
      </c>
      <c r="B28" s="38">
        <v>2021</v>
      </c>
      <c r="C28" s="31" t="s">
        <v>177</v>
      </c>
      <c r="D28" s="28" t="s">
        <v>1</v>
      </c>
      <c r="E28" s="11">
        <v>13.255388210500005</v>
      </c>
      <c r="F28" s="12">
        <v>352.87773426931756</v>
      </c>
      <c r="G28" s="12">
        <v>39.26594674990487</v>
      </c>
      <c r="H28" s="13">
        <v>359.2628225684299</v>
      </c>
      <c r="I28" s="10" t="s">
        <v>177</v>
      </c>
      <c r="J28" s="28" t="s">
        <v>1</v>
      </c>
      <c r="K28" s="11">
        <v>78.183297312624006</v>
      </c>
      <c r="L28" s="12">
        <v>444.29394193606561</v>
      </c>
      <c r="M28" s="12">
        <v>41.152874840856072</v>
      </c>
      <c r="N28" s="12">
        <v>39.954002869369234</v>
      </c>
      <c r="O28" s="13">
        <v>3443.9191737918827</v>
      </c>
      <c r="P28" s="10" t="s">
        <v>177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-3124.6093540928214</v>
      </c>
      <c r="V28" s="11">
        <v>-64.926909102124043</v>
      </c>
      <c r="W28" s="12">
        <v>-91.415207666748003</v>
      </c>
      <c r="X28" s="12">
        <v>-1.8859280909511862</v>
      </c>
      <c r="Y28" s="13">
        <v>1E-3</v>
      </c>
      <c r="Z28" s="10" t="s">
        <v>177</v>
      </c>
      <c r="AA28" s="28" t="s">
        <v>1</v>
      </c>
      <c r="AB28" s="17">
        <v>138066.47311714917</v>
      </c>
      <c r="AC28" s="18">
        <v>106057.36441779671</v>
      </c>
      <c r="AD28" s="18">
        <v>96537.157099249132</v>
      </c>
      <c r="AE28" s="19">
        <v>7769.1567032821113</v>
      </c>
      <c r="AF28" s="145">
        <f t="shared" si="0"/>
        <v>563.6301140895456</v>
      </c>
      <c r="AG28" s="146">
        <f t="shared" si="1"/>
        <v>3483.8731766612518</v>
      </c>
    </row>
    <row r="29" spans="1:33">
      <c r="A29" s="37">
        <v>3</v>
      </c>
      <c r="B29" s="38">
        <v>2021</v>
      </c>
      <c r="C29" s="31" t="s">
        <v>177</v>
      </c>
      <c r="D29" s="28" t="s">
        <v>2</v>
      </c>
      <c r="E29" s="11">
        <v>90.853983478027445</v>
      </c>
      <c r="F29" s="12">
        <v>97.476852820203845</v>
      </c>
      <c r="G29" s="12">
        <v>7.4668501987231188</v>
      </c>
      <c r="H29" s="13">
        <v>461.81701873000532</v>
      </c>
      <c r="I29" s="10" t="s">
        <v>177</v>
      </c>
      <c r="J29" s="28" t="s">
        <v>2</v>
      </c>
      <c r="K29" s="11">
        <v>86.013639422399223</v>
      </c>
      <c r="L29" s="12">
        <v>97.488897332399461</v>
      </c>
      <c r="M29" s="12">
        <v>8.4932034793046931</v>
      </c>
      <c r="N29" s="12">
        <v>47.020446791147478</v>
      </c>
      <c r="O29" s="13">
        <v>1417.8508409799217</v>
      </c>
      <c r="P29" s="10" t="s">
        <v>177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-1003.0532690410639</v>
      </c>
      <c r="V29" s="11">
        <v>4.8413440556282277</v>
      </c>
      <c r="W29" s="12">
        <v>-1.1044512195612092E-2</v>
      </c>
      <c r="X29" s="12">
        <v>-1.0253532805815737</v>
      </c>
      <c r="Y29" s="13">
        <v>1E-3</v>
      </c>
      <c r="Z29" s="10" t="s">
        <v>177</v>
      </c>
      <c r="AA29" s="28" t="s">
        <v>2</v>
      </c>
      <c r="AB29" s="17">
        <v>136689.13449185598</v>
      </c>
      <c r="AC29" s="18">
        <v>105876.50721173284</v>
      </c>
      <c r="AD29" s="18">
        <v>97878.471242831438</v>
      </c>
      <c r="AE29" s="19">
        <v>8164.1185621549503</v>
      </c>
      <c r="AF29" s="145">
        <f t="shared" si="0"/>
        <v>191.99574023410338</v>
      </c>
      <c r="AG29" s="146">
        <f t="shared" si="1"/>
        <v>1464.8712877710691</v>
      </c>
    </row>
    <row r="30" spans="1:33">
      <c r="A30" s="37">
        <v>4</v>
      </c>
      <c r="B30" s="38">
        <v>2021</v>
      </c>
      <c r="C30" s="31" t="s">
        <v>177</v>
      </c>
      <c r="D30" s="28" t="s">
        <v>3</v>
      </c>
      <c r="E30" s="11">
        <v>58.96965761173837</v>
      </c>
      <c r="F30" s="12">
        <v>69.157794897664104</v>
      </c>
      <c r="G30" s="12">
        <v>6.0173277050712182</v>
      </c>
      <c r="H30" s="13">
        <v>348.01934799225467</v>
      </c>
      <c r="I30" s="10" t="s">
        <v>177</v>
      </c>
      <c r="J30" s="28" t="s">
        <v>3</v>
      </c>
      <c r="K30" s="11">
        <v>62.18322726660039</v>
      </c>
      <c r="L30" s="12">
        <v>79.696520129499447</v>
      </c>
      <c r="M30" s="12">
        <v>7.8557003768387492</v>
      </c>
      <c r="N30" s="12">
        <v>22.074307260969714</v>
      </c>
      <c r="O30" s="13">
        <v>989.97147564506156</v>
      </c>
      <c r="P30" s="10" t="s">
        <v>177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-634.56485549780314</v>
      </c>
      <c r="V30" s="11">
        <v>-3.2125696548620124</v>
      </c>
      <c r="W30" s="12">
        <v>-10.537725231835367</v>
      </c>
      <c r="X30" s="12">
        <v>-1.8373726717675312</v>
      </c>
      <c r="Y30" s="13">
        <v>-29.459579415973614</v>
      </c>
      <c r="Z30" s="10" t="s">
        <v>177</v>
      </c>
      <c r="AA30" s="28" t="s">
        <v>3</v>
      </c>
      <c r="AB30" s="17">
        <v>139541.64283063053</v>
      </c>
      <c r="AC30" s="18">
        <v>105724.09359382145</v>
      </c>
      <c r="AD30" s="18">
        <v>97116.900768190637</v>
      </c>
      <c r="AE30" s="19">
        <v>8505.6259350381606</v>
      </c>
      <c r="AF30" s="145">
        <f t="shared" si="0"/>
        <v>149.73544777293858</v>
      </c>
      <c r="AG30" s="146">
        <f t="shared" si="1"/>
        <v>1012.0457829060313</v>
      </c>
    </row>
    <row r="31" spans="1:33">
      <c r="A31" s="37">
        <v>5</v>
      </c>
      <c r="B31" s="38">
        <v>2021</v>
      </c>
      <c r="C31" s="31" t="s">
        <v>177</v>
      </c>
      <c r="D31" s="28" t="s">
        <v>4</v>
      </c>
      <c r="E31" s="11">
        <v>46.282291996328453</v>
      </c>
      <c r="F31" s="12">
        <v>91.394454807956222</v>
      </c>
      <c r="G31" s="12">
        <v>8.2043540768906738</v>
      </c>
      <c r="H31" s="13">
        <v>1189.6584210634128</v>
      </c>
      <c r="I31" s="10" t="s">
        <v>177</v>
      </c>
      <c r="J31" s="28" t="s">
        <v>4</v>
      </c>
      <c r="K31" s="11">
        <v>26.617263636247337</v>
      </c>
      <c r="L31" s="12">
        <v>60.276143577276301</v>
      </c>
      <c r="M31" s="12">
        <v>6.5741213551900923</v>
      </c>
      <c r="N31" s="12">
        <v>26.366093256420331</v>
      </c>
      <c r="O31" s="13">
        <v>1133.8317483910187</v>
      </c>
      <c r="P31" s="10" t="s">
        <v>177</v>
      </c>
      <c r="Q31" s="28" t="s">
        <v>4</v>
      </c>
      <c r="R31" s="17">
        <v>1E-3</v>
      </c>
      <c r="S31" s="18">
        <v>1E-3</v>
      </c>
      <c r="T31" s="18">
        <v>1E-3</v>
      </c>
      <c r="U31" s="18">
        <v>1E-3</v>
      </c>
      <c r="V31" s="11">
        <v>19.666028360081118</v>
      </c>
      <c r="W31" s="12">
        <v>31.119311230679937</v>
      </c>
      <c r="X31" s="12">
        <v>1.6312327217005809</v>
      </c>
      <c r="Y31" s="13">
        <v>29.461579415973617</v>
      </c>
      <c r="Z31" s="10" t="s">
        <v>177</v>
      </c>
      <c r="AA31" s="28" t="s">
        <v>4</v>
      </c>
      <c r="AB31" s="17">
        <v>138642.36450105222</v>
      </c>
      <c r="AC31" s="18">
        <v>102053.82021048634</v>
      </c>
      <c r="AD31" s="18">
        <v>95565.127198396789</v>
      </c>
      <c r="AE31" s="19">
        <v>7997.9935872716978</v>
      </c>
      <c r="AF31" s="145">
        <f t="shared" si="0"/>
        <v>93.467528568713718</v>
      </c>
      <c r="AG31" s="146">
        <f t="shared" si="1"/>
        <v>1160.197841647439</v>
      </c>
    </row>
    <row r="32" spans="1:33">
      <c r="A32" s="37">
        <v>6</v>
      </c>
      <c r="B32" s="38">
        <v>2021</v>
      </c>
      <c r="C32" s="31" t="s">
        <v>177</v>
      </c>
      <c r="D32" s="28" t="s">
        <v>5</v>
      </c>
      <c r="E32" s="11">
        <v>5.8125156880481414</v>
      </c>
      <c r="F32" s="12">
        <v>281.04351909210015</v>
      </c>
      <c r="G32" s="12">
        <v>31.776756460425297</v>
      </c>
      <c r="H32" s="13">
        <v>431.22484749563898</v>
      </c>
      <c r="I32" s="10" t="s">
        <v>177</v>
      </c>
      <c r="J32" s="28" t="s">
        <v>5</v>
      </c>
      <c r="K32" s="11">
        <v>32.233184348965096</v>
      </c>
      <c r="L32" s="12">
        <v>217.76520329726191</v>
      </c>
      <c r="M32" s="12">
        <v>27.277310926851406</v>
      </c>
      <c r="N32" s="12">
        <v>41.418501425537741</v>
      </c>
      <c r="O32" s="13">
        <v>2744.6202929604829</v>
      </c>
      <c r="P32" s="10" t="s">
        <v>177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-2354.8129468903817</v>
      </c>
      <c r="V32" s="11">
        <v>-26.419668660916958</v>
      </c>
      <c r="W32" s="12">
        <v>63.27931579483834</v>
      </c>
      <c r="X32" s="12">
        <v>4.5004455335738704</v>
      </c>
      <c r="Y32" s="13">
        <v>1E-3</v>
      </c>
      <c r="Z32" s="10" t="s">
        <v>177</v>
      </c>
      <c r="AA32" s="28" t="s">
        <v>5</v>
      </c>
      <c r="AB32" s="17">
        <v>140169.12654102236</v>
      </c>
      <c r="AC32" s="18">
        <v>106164.56482623314</v>
      </c>
      <c r="AD32" s="18">
        <v>94472.430038061197</v>
      </c>
      <c r="AE32" s="19">
        <v>7645.7552488619622</v>
      </c>
      <c r="AF32" s="145">
        <f t="shared" si="0"/>
        <v>277.27569857307839</v>
      </c>
      <c r="AG32" s="146">
        <f t="shared" si="1"/>
        <v>2786.0387943860205</v>
      </c>
    </row>
    <row r="33" spans="1:33" ht="17" thickBot="1">
      <c r="A33" s="39">
        <v>7</v>
      </c>
      <c r="B33" s="54">
        <v>2021</v>
      </c>
      <c r="C33" s="32" t="s">
        <v>177</v>
      </c>
      <c r="D33" s="29" t="s">
        <v>6</v>
      </c>
      <c r="E33" s="21">
        <v>154.64965299635747</v>
      </c>
      <c r="F33" s="22">
        <v>111.12903479521083</v>
      </c>
      <c r="G33" s="22">
        <v>10.974537946995106</v>
      </c>
      <c r="H33" s="23">
        <v>185.57092646754307</v>
      </c>
      <c r="I33" s="20" t="s">
        <v>177</v>
      </c>
      <c r="J33" s="29" t="s">
        <v>6</v>
      </c>
      <c r="K33" s="21">
        <v>160.60382066871762</v>
      </c>
      <c r="L33" s="22">
        <v>115.32245450893754</v>
      </c>
      <c r="M33" s="22">
        <v>12.404869519211989</v>
      </c>
      <c r="N33" s="22">
        <v>30.937139036021641</v>
      </c>
      <c r="O33" s="23">
        <v>1925.5138942656945</v>
      </c>
      <c r="P33" s="20" t="s">
        <v>177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-1770.8791068341734</v>
      </c>
      <c r="V33" s="21">
        <v>-5.9531676723601743</v>
      </c>
      <c r="W33" s="22">
        <v>-4.1924197137267081</v>
      </c>
      <c r="X33" s="22">
        <v>-1.4293315722168816</v>
      </c>
      <c r="Y33" s="23">
        <v>1E-3</v>
      </c>
      <c r="Z33" s="20" t="s">
        <v>177</v>
      </c>
      <c r="AA33" s="29" t="s">
        <v>6</v>
      </c>
      <c r="AB33" s="24">
        <v>140088.24919687954</v>
      </c>
      <c r="AC33" s="25">
        <v>105900.61320326832</v>
      </c>
      <c r="AD33" s="25">
        <v>94882.637189278306</v>
      </c>
      <c r="AE33" s="26">
        <v>7638.2012672831406</v>
      </c>
      <c r="AF33" s="147">
        <f t="shared" si="0"/>
        <v>288.33114469686717</v>
      </c>
      <c r="AG33" s="148">
        <f t="shared" si="1"/>
        <v>1956.4510333017161</v>
      </c>
    </row>
    <row r="34" spans="1:33">
      <c r="A34" s="35">
        <v>1</v>
      </c>
      <c r="B34" s="36">
        <v>2022</v>
      </c>
      <c r="C34" s="33" t="s">
        <v>178</v>
      </c>
      <c r="D34" s="27" t="s">
        <v>0</v>
      </c>
      <c r="E34" s="7">
        <v>253.56589063170625</v>
      </c>
      <c r="F34" s="8">
        <v>96.460200762577458</v>
      </c>
      <c r="G34" s="8">
        <v>10.659276005324928</v>
      </c>
      <c r="H34" s="9">
        <v>1781.7477501604626</v>
      </c>
      <c r="I34" s="6" t="s">
        <v>178</v>
      </c>
      <c r="J34" s="27" t="s">
        <v>0</v>
      </c>
      <c r="K34" s="7">
        <v>174.59566770358572</v>
      </c>
      <c r="L34" s="8">
        <v>83.93735732651669</v>
      </c>
      <c r="M34" s="8">
        <v>10.563691109925736</v>
      </c>
      <c r="N34" s="8">
        <v>61.893050768850571</v>
      </c>
      <c r="O34" s="9">
        <v>2386.9963476708326</v>
      </c>
      <c r="P34" s="6" t="s">
        <v>178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-667.1406482792205</v>
      </c>
      <c r="V34" s="7">
        <v>78.97122292812054</v>
      </c>
      <c r="W34" s="8">
        <v>12.523843436060769</v>
      </c>
      <c r="X34" s="8">
        <v>9.6584895399193071E-2</v>
      </c>
      <c r="Y34" s="9">
        <v>1E-3</v>
      </c>
      <c r="Z34" s="6" t="s">
        <v>178</v>
      </c>
      <c r="AA34" s="27" t="s">
        <v>0</v>
      </c>
      <c r="AB34" s="14">
        <v>144365.81745418167</v>
      </c>
      <c r="AC34" s="15">
        <v>109353.68018037901</v>
      </c>
      <c r="AD34" s="15">
        <v>97051.517991848305</v>
      </c>
      <c r="AE34" s="16">
        <v>8396.6345563220602</v>
      </c>
      <c r="AF34" s="143">
        <f t="shared" si="0"/>
        <v>269.09671614002815</v>
      </c>
      <c r="AG34" s="144">
        <f t="shared" si="1"/>
        <v>2448.8893984396832</v>
      </c>
    </row>
    <row r="35" spans="1:33">
      <c r="A35" s="37">
        <v>2</v>
      </c>
      <c r="B35" s="38">
        <v>2022</v>
      </c>
      <c r="C35" s="31" t="s">
        <v>178</v>
      </c>
      <c r="D35" s="28" t="s">
        <v>1</v>
      </c>
      <c r="E35" s="11">
        <v>13.65923724631806</v>
      </c>
      <c r="F35" s="12">
        <v>371.82212826643007</v>
      </c>
      <c r="G35" s="12">
        <v>42.023308408100554</v>
      </c>
      <c r="H35" s="13">
        <v>374.68472894202517</v>
      </c>
      <c r="I35" s="10" t="s">
        <v>178</v>
      </c>
      <c r="J35" s="28" t="s">
        <v>1</v>
      </c>
      <c r="K35" s="11">
        <v>80.184457208825009</v>
      </c>
      <c r="L35" s="12">
        <v>470.30485603065654</v>
      </c>
      <c r="M35" s="12">
        <v>44.301979318089565</v>
      </c>
      <c r="N35" s="12">
        <v>40.302346286995387</v>
      </c>
      <c r="O35" s="13">
        <v>3654.1852023167303</v>
      </c>
      <c r="P35" s="10" t="s">
        <v>178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-3319.8018196617004</v>
      </c>
      <c r="V35" s="11">
        <v>-66.524219962506947</v>
      </c>
      <c r="W35" s="12">
        <v>-98.481727764226164</v>
      </c>
      <c r="X35" s="12">
        <v>-2.2776709099890264</v>
      </c>
      <c r="Y35" s="13">
        <v>1E-3</v>
      </c>
      <c r="Z35" s="10" t="s">
        <v>178</v>
      </c>
      <c r="AA35" s="28" t="s">
        <v>1</v>
      </c>
      <c r="AB35" s="17">
        <v>145759.65715613306</v>
      </c>
      <c r="AC35" s="18">
        <v>108903.47852812684</v>
      </c>
      <c r="AD35" s="18">
        <v>98327.90907268766</v>
      </c>
      <c r="AE35" s="19">
        <v>8033.0037347721409</v>
      </c>
      <c r="AF35" s="145">
        <f t="shared" si="0"/>
        <v>594.79129255757118</v>
      </c>
      <c r="AG35" s="146">
        <f t="shared" si="1"/>
        <v>3694.4875486037258</v>
      </c>
    </row>
    <row r="36" spans="1:33">
      <c r="A36" s="37">
        <v>3</v>
      </c>
      <c r="B36" s="38">
        <v>2022</v>
      </c>
      <c r="C36" s="31" t="s">
        <v>178</v>
      </c>
      <c r="D36" s="28" t="s">
        <v>2</v>
      </c>
      <c r="E36" s="11">
        <v>93.636062118253932</v>
      </c>
      <c r="F36" s="12">
        <v>102.9487463931811</v>
      </c>
      <c r="G36" s="12">
        <v>7.9898397032425086</v>
      </c>
      <c r="H36" s="13">
        <v>481.28592549707298</v>
      </c>
      <c r="I36" s="10" t="s">
        <v>178</v>
      </c>
      <c r="J36" s="28" t="s">
        <v>2</v>
      </c>
      <c r="K36" s="11">
        <v>89.934233103362629</v>
      </c>
      <c r="L36" s="12">
        <v>104.81795602312054</v>
      </c>
      <c r="M36" s="12">
        <v>9.2767904444487819</v>
      </c>
      <c r="N36" s="12">
        <v>49.23206412609261</v>
      </c>
      <c r="O36" s="13">
        <v>1492.7396716957655</v>
      </c>
      <c r="P36" s="10" t="s">
        <v>178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-1060.6848103247851</v>
      </c>
      <c r="V36" s="11">
        <v>3.7028290148913023</v>
      </c>
      <c r="W36" s="12">
        <v>-1.8682096299394482</v>
      </c>
      <c r="X36" s="12">
        <v>-1.2859507412062767</v>
      </c>
      <c r="Y36" s="13">
        <v>1E-3</v>
      </c>
      <c r="Z36" s="10" t="s">
        <v>178</v>
      </c>
      <c r="AA36" s="28" t="s">
        <v>2</v>
      </c>
      <c r="AB36" s="17">
        <v>144363.1106891665</v>
      </c>
      <c r="AC36" s="18">
        <v>109041.1490023596</v>
      </c>
      <c r="AD36" s="18">
        <v>99667.96961932382</v>
      </c>
      <c r="AE36" s="19">
        <v>8427.9174372343496</v>
      </c>
      <c r="AF36" s="145">
        <f t="shared" si="0"/>
        <v>204.02897957093197</v>
      </c>
      <c r="AG36" s="146">
        <f t="shared" si="1"/>
        <v>1541.9717358218581</v>
      </c>
    </row>
    <row r="37" spans="1:33">
      <c r="A37" s="37">
        <v>4</v>
      </c>
      <c r="B37" s="38">
        <v>2022</v>
      </c>
      <c r="C37" s="31" t="s">
        <v>178</v>
      </c>
      <c r="D37" s="28" t="s">
        <v>3</v>
      </c>
      <c r="E37" s="11">
        <v>60.748326487204466</v>
      </c>
      <c r="F37" s="12">
        <v>72.933706795250828</v>
      </c>
      <c r="G37" s="12">
        <v>6.4405850493654206</v>
      </c>
      <c r="H37" s="13">
        <v>363.5977862268403</v>
      </c>
      <c r="I37" s="10" t="s">
        <v>178</v>
      </c>
      <c r="J37" s="28" t="s">
        <v>3</v>
      </c>
      <c r="K37" s="11">
        <v>63.979184444667439</v>
      </c>
      <c r="L37" s="12">
        <v>83.976988086498238</v>
      </c>
      <c r="M37" s="12">
        <v>8.4019216150971268</v>
      </c>
      <c r="N37" s="12">
        <v>22.355092551715174</v>
      </c>
      <c r="O37" s="13">
        <v>1042.4297500721989</v>
      </c>
      <c r="P37" s="10" t="s">
        <v>178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-673.3193314510952</v>
      </c>
      <c r="V37" s="11">
        <v>-3.2298579574629684</v>
      </c>
      <c r="W37" s="12">
        <v>-11.042281291247422</v>
      </c>
      <c r="X37" s="12">
        <v>-1.960336565731698</v>
      </c>
      <c r="Y37" s="13">
        <v>-27.865724945978734</v>
      </c>
      <c r="Z37" s="10" t="s">
        <v>178</v>
      </c>
      <c r="AA37" s="28" t="s">
        <v>3</v>
      </c>
      <c r="AB37" s="17">
        <v>147193.9153873357</v>
      </c>
      <c r="AC37" s="18">
        <v>108637.0784331766</v>
      </c>
      <c r="AD37" s="18">
        <v>98906.880820427963</v>
      </c>
      <c r="AE37" s="19">
        <v>8769.3734657658315</v>
      </c>
      <c r="AF37" s="145">
        <f t="shared" si="0"/>
        <v>156.35809414626283</v>
      </c>
      <c r="AG37" s="146">
        <f t="shared" si="1"/>
        <v>1064.7848426239141</v>
      </c>
    </row>
    <row r="38" spans="1:33">
      <c r="A38" s="37">
        <v>5</v>
      </c>
      <c r="B38" s="38">
        <v>2022</v>
      </c>
      <c r="C38" s="31" t="s">
        <v>178</v>
      </c>
      <c r="D38" s="28" t="s">
        <v>4</v>
      </c>
      <c r="E38" s="11">
        <v>47.685031514159107</v>
      </c>
      <c r="F38" s="12">
        <v>96.352678937910298</v>
      </c>
      <c r="G38" s="12">
        <v>8.7817903000155404</v>
      </c>
      <c r="H38" s="13">
        <v>1244.6018486400274</v>
      </c>
      <c r="I38" s="10" t="s">
        <v>178</v>
      </c>
      <c r="J38" s="28" t="s">
        <v>4</v>
      </c>
      <c r="K38" s="11">
        <v>27.07315609946918</v>
      </c>
      <c r="L38" s="12">
        <v>63.347109417180278</v>
      </c>
      <c r="M38" s="12">
        <v>7.0922616867340942</v>
      </c>
      <c r="N38" s="12">
        <v>27.927936542837983</v>
      </c>
      <c r="O38" s="13">
        <v>1195.8561853473545</v>
      </c>
      <c r="P38" s="10" t="s">
        <v>178</v>
      </c>
      <c r="Q38" s="28" t="s">
        <v>4</v>
      </c>
      <c r="R38" s="17">
        <v>1E-3</v>
      </c>
      <c r="S38" s="18">
        <v>1E-3</v>
      </c>
      <c r="T38" s="18">
        <v>1E-3</v>
      </c>
      <c r="U38" s="18">
        <v>-7.0479981961440084</v>
      </c>
      <c r="V38" s="11">
        <v>20.612875414689931</v>
      </c>
      <c r="W38" s="12">
        <v>33.006569520730103</v>
      </c>
      <c r="X38" s="12">
        <v>1.6905286132814483</v>
      </c>
      <c r="Y38" s="13">
        <v>27.867724945978736</v>
      </c>
      <c r="Z38" s="10" t="s">
        <v>178</v>
      </c>
      <c r="AA38" s="28" t="s">
        <v>4</v>
      </c>
      <c r="AB38" s="17">
        <v>146328.07495103151</v>
      </c>
      <c r="AC38" s="18">
        <v>104885.18452448465</v>
      </c>
      <c r="AD38" s="18">
        <v>97356.921881847695</v>
      </c>
      <c r="AE38" s="19">
        <v>8262.3462290024563</v>
      </c>
      <c r="AF38" s="145">
        <f t="shared" si="0"/>
        <v>97.512527203383556</v>
      </c>
      <c r="AG38" s="146">
        <f t="shared" si="1"/>
        <v>1223.7841218901926</v>
      </c>
    </row>
    <row r="39" spans="1:33">
      <c r="A39" s="37">
        <v>6</v>
      </c>
      <c r="B39" s="38">
        <v>2022</v>
      </c>
      <c r="C39" s="31" t="s">
        <v>178</v>
      </c>
      <c r="D39" s="28" t="s">
        <v>5</v>
      </c>
      <c r="E39" s="11">
        <v>5.986266252569207</v>
      </c>
      <c r="F39" s="12">
        <v>296.35400788603397</v>
      </c>
      <c r="G39" s="12">
        <v>34.018258022157752</v>
      </c>
      <c r="H39" s="13">
        <v>451.57146940415925</v>
      </c>
      <c r="I39" s="10" t="s">
        <v>178</v>
      </c>
      <c r="J39" s="28" t="s">
        <v>5</v>
      </c>
      <c r="K39" s="11">
        <v>32.023764251274073</v>
      </c>
      <c r="L39" s="12">
        <v>225.97852025858455</v>
      </c>
      <c r="M39" s="12">
        <v>28.871783897408697</v>
      </c>
      <c r="N39" s="12">
        <v>44.265040247210486</v>
      </c>
      <c r="O39" s="13">
        <v>2915.2619648391546</v>
      </c>
      <c r="P39" s="10" t="s">
        <v>178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-2507.9545356822055</v>
      </c>
      <c r="V39" s="11">
        <v>-26.036497998704828</v>
      </c>
      <c r="W39" s="12">
        <v>70.376487627449393</v>
      </c>
      <c r="X39" s="12">
        <v>5.1474741247490297</v>
      </c>
      <c r="Y39" s="13">
        <v>1E-3</v>
      </c>
      <c r="Z39" s="10" t="s">
        <v>178</v>
      </c>
      <c r="AA39" s="28" t="s">
        <v>5</v>
      </c>
      <c r="AB39" s="17">
        <v>147872.84603975402</v>
      </c>
      <c r="AC39" s="18">
        <v>109169.28268628183</v>
      </c>
      <c r="AD39" s="18">
        <v>96264.764397677238</v>
      </c>
      <c r="AE39" s="19">
        <v>7909.2400347675075</v>
      </c>
      <c r="AF39" s="145">
        <f t="shared" si="0"/>
        <v>286.87406840726732</v>
      </c>
      <c r="AG39" s="146">
        <f t="shared" si="1"/>
        <v>2959.5270050863651</v>
      </c>
    </row>
    <row r="40" spans="1:33" ht="17" thickBot="1">
      <c r="A40" s="39">
        <v>7</v>
      </c>
      <c r="B40" s="54">
        <v>2022</v>
      </c>
      <c r="C40" s="32" t="s">
        <v>178</v>
      </c>
      <c r="D40" s="29" t="s">
        <v>6</v>
      </c>
      <c r="E40" s="21">
        <v>159.27383622226785</v>
      </c>
      <c r="F40" s="22">
        <v>117.16598185834802</v>
      </c>
      <c r="G40" s="22">
        <v>11.747982320905971</v>
      </c>
      <c r="H40" s="23">
        <v>194.31242706898277</v>
      </c>
      <c r="I40" s="20" t="s">
        <v>178</v>
      </c>
      <c r="J40" s="29" t="s">
        <v>6</v>
      </c>
      <c r="K40" s="21">
        <v>166.76418766129481</v>
      </c>
      <c r="L40" s="22">
        <v>121.67466375717524</v>
      </c>
      <c r="M40" s="22">
        <v>13.152611737408638</v>
      </c>
      <c r="N40" s="22">
        <v>31.87363269684186</v>
      </c>
      <c r="O40" s="23">
        <v>2019.6736175187639</v>
      </c>
      <c r="P40" s="20" t="s">
        <v>178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-1857.2338231466231</v>
      </c>
      <c r="V40" s="21">
        <v>-7.4893514390270148</v>
      </c>
      <c r="W40" s="22">
        <v>-4.5076818988272152</v>
      </c>
      <c r="X40" s="22">
        <v>-1.4036294165026697</v>
      </c>
      <c r="Y40" s="23">
        <v>1E-3</v>
      </c>
      <c r="Z40" s="20" t="s">
        <v>178</v>
      </c>
      <c r="AA40" s="29" t="s">
        <v>6</v>
      </c>
      <c r="AB40" s="24">
        <v>147730.65905052284</v>
      </c>
      <c r="AC40" s="25">
        <v>108750.68331191232</v>
      </c>
      <c r="AD40" s="25">
        <v>96669.906325117161</v>
      </c>
      <c r="AE40" s="26">
        <v>7901.9796474868072</v>
      </c>
      <c r="AF40" s="147">
        <f t="shared" si="0"/>
        <v>301.59146315587867</v>
      </c>
      <c r="AG40" s="148">
        <f t="shared" si="1"/>
        <v>2051.5472502156058</v>
      </c>
    </row>
    <row r="41" spans="1:33">
      <c r="A41" s="35">
        <v>1</v>
      </c>
      <c r="B41" s="36">
        <v>2023</v>
      </c>
      <c r="C41" s="33" t="s">
        <v>179</v>
      </c>
      <c r="D41" s="27" t="s">
        <v>0</v>
      </c>
      <c r="E41" s="7">
        <v>261.21649759546187</v>
      </c>
      <c r="F41" s="8">
        <v>102.26019276281261</v>
      </c>
      <c r="G41" s="8">
        <v>11.501463516350951</v>
      </c>
      <c r="H41" s="9">
        <v>1862.543052880601</v>
      </c>
      <c r="I41" s="6" t="s">
        <v>179</v>
      </c>
      <c r="J41" s="27" t="s">
        <v>0</v>
      </c>
      <c r="K41" s="7">
        <v>179.44894160779648</v>
      </c>
      <c r="L41" s="8">
        <v>88.801466815142277</v>
      </c>
      <c r="M41" s="8">
        <v>11.358540456659178</v>
      </c>
      <c r="N41" s="8">
        <v>62.583136016971523</v>
      </c>
      <c r="O41" s="9">
        <v>2495.6181631260756</v>
      </c>
      <c r="P41" s="6" t="s">
        <v>179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-695.65724626244605</v>
      </c>
      <c r="V41" s="7">
        <v>81.768555987665394</v>
      </c>
      <c r="W41" s="8">
        <v>13.459725947670339</v>
      </c>
      <c r="X41" s="8">
        <v>0.14392305969176997</v>
      </c>
      <c r="Y41" s="9">
        <v>1E-3</v>
      </c>
      <c r="Z41" s="6" t="s">
        <v>179</v>
      </c>
      <c r="AA41" s="27" t="s">
        <v>0</v>
      </c>
      <c r="AB41" s="14">
        <v>152114.77381753191</v>
      </c>
      <c r="AC41" s="15">
        <v>111510.34258917486</v>
      </c>
      <c r="AD41" s="15">
        <v>97933.510096068829</v>
      </c>
      <c r="AE41" s="16">
        <v>8655.2644089301339</v>
      </c>
      <c r="AF41" s="143">
        <f t="shared" si="0"/>
        <v>279.60894887959796</v>
      </c>
      <c r="AG41" s="144">
        <f t="shared" si="1"/>
        <v>2558.201299143047</v>
      </c>
    </row>
    <row r="42" spans="1:33">
      <c r="A42" s="37">
        <v>2</v>
      </c>
      <c r="B42" s="38">
        <v>2023</v>
      </c>
      <c r="C42" s="31" t="s">
        <v>179</v>
      </c>
      <c r="D42" s="28" t="s">
        <v>1</v>
      </c>
      <c r="E42" s="11">
        <v>14.067187030274294</v>
      </c>
      <c r="F42" s="12">
        <v>394.05532548455125</v>
      </c>
      <c r="G42" s="12">
        <v>45.337022684965127</v>
      </c>
      <c r="H42" s="13">
        <v>391.9734399265302</v>
      </c>
      <c r="I42" s="10" t="s">
        <v>179</v>
      </c>
      <c r="J42" s="28" t="s">
        <v>1</v>
      </c>
      <c r="K42" s="11">
        <v>82.283747168059321</v>
      </c>
      <c r="L42" s="12">
        <v>500.0240583627301</v>
      </c>
      <c r="M42" s="12">
        <v>48.025511874469188</v>
      </c>
      <c r="N42" s="12">
        <v>40.947110130512598</v>
      </c>
      <c r="O42" s="13">
        <v>3890.7929409459771</v>
      </c>
      <c r="P42" s="10" t="s">
        <v>179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-3539.7656111499591</v>
      </c>
      <c r="V42" s="11">
        <v>-68.215560137785118</v>
      </c>
      <c r="W42" s="12">
        <v>-105.96773287817901</v>
      </c>
      <c r="X42" s="12">
        <v>-2.6874891895040398</v>
      </c>
      <c r="Y42" s="13">
        <v>1E-3</v>
      </c>
      <c r="Z42" s="10" t="s">
        <v>179</v>
      </c>
      <c r="AA42" s="28" t="s">
        <v>1</v>
      </c>
      <c r="AB42" s="17">
        <v>153538.73825238994</v>
      </c>
      <c r="AC42" s="18">
        <v>111033.1324345262</v>
      </c>
      <c r="AD42" s="18">
        <v>99210.37592613275</v>
      </c>
      <c r="AE42" s="19">
        <v>8291.7225082121404</v>
      </c>
      <c r="AF42" s="145">
        <f t="shared" si="0"/>
        <v>630.33331740525864</v>
      </c>
      <c r="AG42" s="146">
        <f t="shared" si="1"/>
        <v>3931.7400510764896</v>
      </c>
    </row>
    <row r="43" spans="1:33">
      <c r="A43" s="37">
        <v>3</v>
      </c>
      <c r="B43" s="38">
        <v>2023</v>
      </c>
      <c r="C43" s="31" t="s">
        <v>179</v>
      </c>
      <c r="D43" s="28" t="s">
        <v>2</v>
      </c>
      <c r="E43" s="11">
        <v>96.678430785671608</v>
      </c>
      <c r="F43" s="12">
        <v>109.08061993147638</v>
      </c>
      <c r="G43" s="12">
        <v>8.6196115398619515</v>
      </c>
      <c r="H43" s="13">
        <v>503.10101037192908</v>
      </c>
      <c r="I43" s="10" t="s">
        <v>179</v>
      </c>
      <c r="J43" s="28" t="s">
        <v>2</v>
      </c>
      <c r="K43" s="11">
        <v>93.765429762744702</v>
      </c>
      <c r="L43" s="12">
        <v>113.69229059965141</v>
      </c>
      <c r="M43" s="12">
        <v>10.215382706662016</v>
      </c>
      <c r="N43" s="12">
        <v>51.159644819107896</v>
      </c>
      <c r="O43" s="13">
        <v>1572.4235529702496</v>
      </c>
      <c r="P43" s="10" t="s">
        <v>179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-1120.4811874174281</v>
      </c>
      <c r="V43" s="11">
        <v>2.9140010229269011</v>
      </c>
      <c r="W43" s="12">
        <v>-4.6106706681750484</v>
      </c>
      <c r="X43" s="12">
        <v>-1.5947711668000648</v>
      </c>
      <c r="Y43" s="13">
        <v>1E-3</v>
      </c>
      <c r="Z43" s="10" t="s">
        <v>179</v>
      </c>
      <c r="AA43" s="28" t="s">
        <v>2</v>
      </c>
      <c r="AB43" s="17">
        <v>152655.39827262866</v>
      </c>
      <c r="AC43" s="18">
        <v>111105.54981031135</v>
      </c>
      <c r="AD43" s="18">
        <v>100549.24323500028</v>
      </c>
      <c r="AE43" s="19">
        <v>8686.5965469799994</v>
      </c>
      <c r="AF43" s="145">
        <f t="shared" si="0"/>
        <v>217.67310306905813</v>
      </c>
      <c r="AG43" s="146">
        <f t="shared" si="1"/>
        <v>1623.5831977893574</v>
      </c>
    </row>
    <row r="44" spans="1:33">
      <c r="A44" s="37">
        <v>4</v>
      </c>
      <c r="B44" s="38">
        <v>2023</v>
      </c>
      <c r="C44" s="31" t="s">
        <v>179</v>
      </c>
      <c r="D44" s="28" t="s">
        <v>3</v>
      </c>
      <c r="E44" s="11">
        <v>62.674346680116635</v>
      </c>
      <c r="F44" s="12">
        <v>77.337389679933622</v>
      </c>
      <c r="G44" s="12">
        <v>6.9502904928661877</v>
      </c>
      <c r="H44" s="13">
        <v>381.03802942179107</v>
      </c>
      <c r="I44" s="10" t="s">
        <v>179</v>
      </c>
      <c r="J44" s="28" t="s">
        <v>3</v>
      </c>
      <c r="K44" s="11">
        <v>65.69375898469346</v>
      </c>
      <c r="L44" s="12">
        <v>88.945749236224088</v>
      </c>
      <c r="M44" s="12">
        <v>9.0623410956210098</v>
      </c>
      <c r="N44" s="12">
        <v>22.586333241702242</v>
      </c>
      <c r="O44" s="13">
        <v>1099.7679807023633</v>
      </c>
      <c r="P44" s="10" t="s">
        <v>179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-713.32645272932746</v>
      </c>
      <c r="V44" s="11">
        <v>-3.0184123045768469</v>
      </c>
      <c r="W44" s="12">
        <v>-11.607359556290474</v>
      </c>
      <c r="X44" s="12">
        <v>-2.1110506027548239</v>
      </c>
      <c r="Y44" s="13">
        <v>-27.987831792946828</v>
      </c>
      <c r="Z44" s="10" t="s">
        <v>179</v>
      </c>
      <c r="AA44" s="28" t="s">
        <v>3</v>
      </c>
      <c r="AB44" s="17">
        <v>155450.559822468</v>
      </c>
      <c r="AC44" s="18">
        <v>110789.79105762654</v>
      </c>
      <c r="AD44" s="18">
        <v>99788.769297526029</v>
      </c>
      <c r="AE44" s="19">
        <v>9028.0060226024689</v>
      </c>
      <c r="AF44" s="145">
        <f t="shared" si="0"/>
        <v>163.70184931653856</v>
      </c>
      <c r="AG44" s="146">
        <f t="shared" si="1"/>
        <v>1122.3543139440656</v>
      </c>
    </row>
    <row r="45" spans="1:33">
      <c r="A45" s="37">
        <v>5</v>
      </c>
      <c r="B45" s="38">
        <v>2023</v>
      </c>
      <c r="C45" s="31" t="s">
        <v>179</v>
      </c>
      <c r="D45" s="28" t="s">
        <v>4</v>
      </c>
      <c r="E45" s="11">
        <v>49.10299911629766</v>
      </c>
      <c r="F45" s="12">
        <v>102.15933750946336</v>
      </c>
      <c r="G45" s="12">
        <v>9.4753166103113688</v>
      </c>
      <c r="H45" s="13">
        <v>1305.7514052291735</v>
      </c>
      <c r="I45" s="10" t="s">
        <v>179</v>
      </c>
      <c r="J45" s="28" t="s">
        <v>4</v>
      </c>
      <c r="K45" s="11">
        <v>27.551142640362315</v>
      </c>
      <c r="L45" s="12">
        <v>66.926240505966533</v>
      </c>
      <c r="M45" s="12">
        <v>7.7186793453436495</v>
      </c>
      <c r="N45" s="12">
        <v>29.336058028327219</v>
      </c>
      <c r="O45" s="13">
        <v>1263.541093408925</v>
      </c>
      <c r="P45" s="10" t="s">
        <v>179</v>
      </c>
      <c r="Q45" s="28" t="s">
        <v>4</v>
      </c>
      <c r="R45" s="17">
        <v>1E-3</v>
      </c>
      <c r="S45" s="18">
        <v>1E-3</v>
      </c>
      <c r="T45" s="18">
        <v>1E-3</v>
      </c>
      <c r="U45" s="18">
        <v>-15.113578001025555</v>
      </c>
      <c r="V45" s="11">
        <v>21.552856475935346</v>
      </c>
      <c r="W45" s="12">
        <v>35.234097003496565</v>
      </c>
      <c r="X45" s="12">
        <v>1.7576372649677205</v>
      </c>
      <c r="Y45" s="13">
        <v>27.989831792946831</v>
      </c>
      <c r="Z45" s="10" t="s">
        <v>179</v>
      </c>
      <c r="AA45" s="28" t="s">
        <v>4</v>
      </c>
      <c r="AB45" s="17">
        <v>154106.21532700612</v>
      </c>
      <c r="AC45" s="18">
        <v>107013.80035858498</v>
      </c>
      <c r="AD45" s="18">
        <v>98240.350280875107</v>
      </c>
      <c r="AE45" s="19">
        <v>8520.9666164537448</v>
      </c>
      <c r="AF45" s="145">
        <f t="shared" si="0"/>
        <v>102.19606249167249</v>
      </c>
      <c r="AG45" s="146">
        <f t="shared" si="1"/>
        <v>1292.8771514372522</v>
      </c>
    </row>
    <row r="46" spans="1:33">
      <c r="A46" s="37">
        <v>6</v>
      </c>
      <c r="B46" s="38">
        <v>2023</v>
      </c>
      <c r="C46" s="31" t="s">
        <v>179</v>
      </c>
      <c r="D46" s="28" t="s">
        <v>5</v>
      </c>
      <c r="E46" s="11">
        <v>6.1620138260424824</v>
      </c>
      <c r="F46" s="12">
        <v>314.19976121884145</v>
      </c>
      <c r="G46" s="12">
        <v>36.705924563505789</v>
      </c>
      <c r="H46" s="13">
        <v>474.20728594881882</v>
      </c>
      <c r="I46" s="10" t="s">
        <v>179</v>
      </c>
      <c r="J46" s="28" t="s">
        <v>5</v>
      </c>
      <c r="K46" s="11">
        <v>31.833659324715317</v>
      </c>
      <c r="L46" s="12">
        <v>235.81662657022611</v>
      </c>
      <c r="M46" s="12">
        <v>30.82158906855372</v>
      </c>
      <c r="N46" s="12">
        <v>47.093748178250856</v>
      </c>
      <c r="O46" s="13">
        <v>3106.2650826652825</v>
      </c>
      <c r="P46" s="10" t="s">
        <v>179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-2679.1505448947141</v>
      </c>
      <c r="V46" s="11">
        <v>-25.670645498672847</v>
      </c>
      <c r="W46" s="12">
        <v>78.384134648615344</v>
      </c>
      <c r="X46" s="12">
        <v>5.8853354949521064</v>
      </c>
      <c r="Y46" s="13">
        <v>1E-3</v>
      </c>
      <c r="Z46" s="10" t="s">
        <v>179</v>
      </c>
      <c r="AA46" s="28" t="s">
        <v>5</v>
      </c>
      <c r="AB46" s="17">
        <v>155672.41986898956</v>
      </c>
      <c r="AC46" s="18">
        <v>111403.51543723755</v>
      </c>
      <c r="AD46" s="18">
        <v>97148.751981494221</v>
      </c>
      <c r="AE46" s="19">
        <v>8167.6592845710811</v>
      </c>
      <c r="AF46" s="145">
        <f t="shared" si="0"/>
        <v>298.47187496349511</v>
      </c>
      <c r="AG46" s="146">
        <f t="shared" si="1"/>
        <v>3153.3588308435333</v>
      </c>
    </row>
    <row r="47" spans="1:33" ht="17" thickBot="1">
      <c r="A47" s="39">
        <v>7</v>
      </c>
      <c r="B47" s="54">
        <v>2023</v>
      </c>
      <c r="C47" s="32" t="s">
        <v>179</v>
      </c>
      <c r="D47" s="29" t="s">
        <v>6</v>
      </c>
      <c r="E47" s="21">
        <v>163.94501227060135</v>
      </c>
      <c r="F47" s="22">
        <v>124.2116263205661</v>
      </c>
      <c r="G47" s="22">
        <v>12.676565356017909</v>
      </c>
      <c r="H47" s="23">
        <v>204.04411295183746</v>
      </c>
      <c r="I47" s="20" t="s">
        <v>179</v>
      </c>
      <c r="J47" s="29" t="s">
        <v>6</v>
      </c>
      <c r="K47" s="21">
        <v>173.26980781609421</v>
      </c>
      <c r="L47" s="22">
        <v>129.09782081770379</v>
      </c>
      <c r="M47" s="22">
        <v>14.064150216570578</v>
      </c>
      <c r="N47" s="22">
        <v>32.878618463583535</v>
      </c>
      <c r="O47" s="23">
        <v>2119.2002433976936</v>
      </c>
      <c r="P47" s="20" t="s">
        <v>179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-1948.0337489094397</v>
      </c>
      <c r="V47" s="21">
        <v>-9.323795545492823</v>
      </c>
      <c r="W47" s="22">
        <v>-4.885194497137725</v>
      </c>
      <c r="X47" s="22">
        <v>-1.3865848605526694</v>
      </c>
      <c r="Y47" s="23">
        <v>1E-3</v>
      </c>
      <c r="Z47" s="20" t="s">
        <v>179</v>
      </c>
      <c r="AA47" s="29" t="s">
        <v>6</v>
      </c>
      <c r="AB47" s="24">
        <v>155450.19965875239</v>
      </c>
      <c r="AC47" s="25">
        <v>110832.87594989754</v>
      </c>
      <c r="AD47" s="25">
        <v>97549.197917239915</v>
      </c>
      <c r="AE47" s="26">
        <v>8160.6330816506343</v>
      </c>
      <c r="AF47" s="147">
        <f t="shared" si="0"/>
        <v>316.43177885036857</v>
      </c>
      <c r="AG47" s="148">
        <f t="shared" si="1"/>
        <v>2152.0788618612773</v>
      </c>
    </row>
    <row r="48" spans="1:33">
      <c r="A48" s="35">
        <v>1</v>
      </c>
      <c r="B48" s="36">
        <v>2024</v>
      </c>
      <c r="C48" s="33" t="s">
        <v>180</v>
      </c>
      <c r="D48" s="27" t="s">
        <v>0</v>
      </c>
      <c r="E48" s="7">
        <v>268.85463624399739</v>
      </c>
      <c r="F48" s="8">
        <v>109.01159745343746</v>
      </c>
      <c r="G48" s="8">
        <v>12.509180041192872</v>
      </c>
      <c r="H48" s="9">
        <v>1955.0257895378859</v>
      </c>
      <c r="I48" s="6" t="s">
        <v>180</v>
      </c>
      <c r="J48" s="27" t="s">
        <v>0</v>
      </c>
      <c r="K48" s="7">
        <v>184.58602288997034</v>
      </c>
      <c r="L48" s="8">
        <v>94.401391357214507</v>
      </c>
      <c r="M48" s="8">
        <v>12.313020275101275</v>
      </c>
      <c r="N48" s="8">
        <v>62.968823218506017</v>
      </c>
      <c r="O48" s="9">
        <v>2605.4469765520371</v>
      </c>
      <c r="P48" s="6" t="s">
        <v>180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-713.38901023265703</v>
      </c>
      <c r="V48" s="7">
        <v>84.269613354027001</v>
      </c>
      <c r="W48" s="8">
        <v>14.611206096222928</v>
      </c>
      <c r="X48" s="8">
        <v>0.19715976609159697</v>
      </c>
      <c r="Y48" s="9">
        <v>1E-3</v>
      </c>
      <c r="Z48" s="6" t="s">
        <v>180</v>
      </c>
      <c r="AA48" s="27" t="s">
        <v>0</v>
      </c>
      <c r="AB48" s="14">
        <v>159849.92734572175</v>
      </c>
      <c r="AC48" s="15">
        <v>112860.13234165555</v>
      </c>
      <c r="AD48" s="15">
        <v>97877.90170028148</v>
      </c>
      <c r="AE48" s="16">
        <v>8923.7882585730258</v>
      </c>
      <c r="AF48" s="143">
        <f t="shared" si="0"/>
        <v>291.30043452228614</v>
      </c>
      <c r="AG48" s="144">
        <f t="shared" si="1"/>
        <v>2668.4157997705429</v>
      </c>
    </row>
    <row r="49" spans="1:34">
      <c r="A49" s="37">
        <v>2</v>
      </c>
      <c r="B49" s="38">
        <v>2024</v>
      </c>
      <c r="C49" s="31" t="s">
        <v>180</v>
      </c>
      <c r="D49" s="28" t="s">
        <v>1</v>
      </c>
      <c r="E49" s="11">
        <v>14.504640408594584</v>
      </c>
      <c r="F49" s="12">
        <v>419.94027331995312</v>
      </c>
      <c r="G49" s="12">
        <v>49.307001636614039</v>
      </c>
      <c r="H49" s="13">
        <v>411.75481568968223</v>
      </c>
      <c r="I49" s="10" t="s">
        <v>180</v>
      </c>
      <c r="J49" s="28" t="s">
        <v>1</v>
      </c>
      <c r="K49" s="11">
        <v>84.505992947425241</v>
      </c>
      <c r="L49" s="12">
        <v>534.00988214053564</v>
      </c>
      <c r="M49" s="12">
        <v>52.421754279518424</v>
      </c>
      <c r="N49" s="12">
        <v>41.872636683595687</v>
      </c>
      <c r="O49" s="13">
        <v>4154.2627038284345</v>
      </c>
      <c r="P49" s="10" t="s">
        <v>180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-3784.3795248223473</v>
      </c>
      <c r="V49" s="11">
        <v>-70.000352538830668</v>
      </c>
      <c r="W49" s="12">
        <v>-114.06860882058261</v>
      </c>
      <c r="X49" s="12">
        <v>-3.113752642904374</v>
      </c>
      <c r="Y49" s="13">
        <v>1E-3</v>
      </c>
      <c r="Z49" s="10" t="s">
        <v>180</v>
      </c>
      <c r="AA49" s="28" t="s">
        <v>1</v>
      </c>
      <c r="AB49" s="17">
        <v>161305.67112339658</v>
      </c>
      <c r="AC49" s="18">
        <v>112379.21616866079</v>
      </c>
      <c r="AD49" s="18">
        <v>99155.0919262916</v>
      </c>
      <c r="AE49" s="19">
        <v>8560.3299245296512</v>
      </c>
      <c r="AF49" s="145">
        <f t="shared" si="0"/>
        <v>670.9376293674793</v>
      </c>
      <c r="AG49" s="146">
        <f t="shared" si="1"/>
        <v>4196.1353405120299</v>
      </c>
    </row>
    <row r="50" spans="1:34">
      <c r="A50" s="37">
        <v>3</v>
      </c>
      <c r="B50" s="38">
        <v>2024</v>
      </c>
      <c r="C50" s="31" t="s">
        <v>180</v>
      </c>
      <c r="D50" s="28" t="s">
        <v>2</v>
      </c>
      <c r="E50" s="11">
        <v>99.753328905625779</v>
      </c>
      <c r="F50" s="12">
        <v>116.20715169097264</v>
      </c>
      <c r="G50" s="12">
        <v>9.3684297146305902</v>
      </c>
      <c r="H50" s="13">
        <v>528.13105374035968</v>
      </c>
      <c r="I50" s="10" t="s">
        <v>180</v>
      </c>
      <c r="J50" s="28" t="s">
        <v>2</v>
      </c>
      <c r="K50" s="11">
        <v>97.832272235976831</v>
      </c>
      <c r="L50" s="12">
        <v>124.00777866847289</v>
      </c>
      <c r="M50" s="12">
        <v>11.350754712944962</v>
      </c>
      <c r="N50" s="12">
        <v>52.733541057346038</v>
      </c>
      <c r="O50" s="13">
        <v>1657.6294006049488</v>
      </c>
      <c r="P50" s="10" t="s">
        <v>180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-1182.2308879219354</v>
      </c>
      <c r="V50" s="11">
        <v>1.9220566696489245</v>
      </c>
      <c r="W50" s="12">
        <v>-7.7996269775002594</v>
      </c>
      <c r="X50" s="12">
        <v>-1.9813249983143724</v>
      </c>
      <c r="Y50" s="13">
        <v>1E-3</v>
      </c>
      <c r="Z50" s="10" t="s">
        <v>180</v>
      </c>
      <c r="AA50" s="28" t="s">
        <v>2</v>
      </c>
      <c r="AB50" s="17">
        <v>161070.0568797428</v>
      </c>
      <c r="AC50" s="18">
        <v>112397.5972043566</v>
      </c>
      <c r="AD50" s="18">
        <v>100493.09045286552</v>
      </c>
      <c r="AE50" s="19">
        <v>8955.1749382212656</v>
      </c>
      <c r="AF50" s="145">
        <f t="shared" si="0"/>
        <v>233.19080561739469</v>
      </c>
      <c r="AG50" s="146">
        <f t="shared" si="1"/>
        <v>1710.3629416622948</v>
      </c>
    </row>
    <row r="51" spans="1:34">
      <c r="A51" s="37">
        <v>4</v>
      </c>
      <c r="B51" s="38">
        <v>2024</v>
      </c>
      <c r="C51" s="31" t="s">
        <v>180</v>
      </c>
      <c r="D51" s="28" t="s">
        <v>3</v>
      </c>
      <c r="E51" s="11">
        <v>64.599501815588781</v>
      </c>
      <c r="F51" s="12">
        <v>82.453093917806598</v>
      </c>
      <c r="G51" s="12">
        <v>7.560418675472226</v>
      </c>
      <c r="H51" s="13">
        <v>400.97718694990658</v>
      </c>
      <c r="I51" s="10" t="s">
        <v>180</v>
      </c>
      <c r="J51" s="28" t="s">
        <v>3</v>
      </c>
      <c r="K51" s="11">
        <v>67.51517579392295</v>
      </c>
      <c r="L51" s="12">
        <v>94.693028561623734</v>
      </c>
      <c r="M51" s="12">
        <v>9.8592550450511123</v>
      </c>
      <c r="N51" s="12">
        <v>22.681924623838672</v>
      </c>
      <c r="O51" s="13">
        <v>1160.6238547038361</v>
      </c>
      <c r="P51" s="10" t="s">
        <v>180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-751.50554739491895</v>
      </c>
      <c r="V51" s="11">
        <v>-2.9146739783341697</v>
      </c>
      <c r="W51" s="12">
        <v>-12.23893464381716</v>
      </c>
      <c r="X51" s="12">
        <v>-2.2978363695788824</v>
      </c>
      <c r="Y51" s="13">
        <v>-30.821044982849468</v>
      </c>
      <c r="Z51" s="10" t="s">
        <v>180</v>
      </c>
      <c r="AA51" s="28" t="s">
        <v>3</v>
      </c>
      <c r="AB51" s="17">
        <v>163719.38467827419</v>
      </c>
      <c r="AC51" s="18">
        <v>112135.96007639632</v>
      </c>
      <c r="AD51" s="18">
        <v>99733.252168822757</v>
      </c>
      <c r="AE51" s="19">
        <v>9296.5406246325547</v>
      </c>
      <c r="AF51" s="145">
        <f t="shared" si="0"/>
        <v>172.06745940059778</v>
      </c>
      <c r="AG51" s="146">
        <f t="shared" si="1"/>
        <v>1183.3057793276748</v>
      </c>
    </row>
    <row r="52" spans="1:34">
      <c r="A52" s="37">
        <v>5</v>
      </c>
      <c r="B52" s="38">
        <v>2024</v>
      </c>
      <c r="C52" s="31" t="s">
        <v>180</v>
      </c>
      <c r="D52" s="28" t="s">
        <v>4</v>
      </c>
      <c r="E52" s="11">
        <v>50.624612214626218</v>
      </c>
      <c r="F52" s="12">
        <v>108.90045956847327</v>
      </c>
      <c r="G52" s="12">
        <v>10.305516702487838</v>
      </c>
      <c r="H52" s="13">
        <v>1375.6177862944651</v>
      </c>
      <c r="I52" s="10" t="s">
        <v>180</v>
      </c>
      <c r="J52" s="28" t="s">
        <v>4</v>
      </c>
      <c r="K52" s="11">
        <v>27.984850436201935</v>
      </c>
      <c r="L52" s="12">
        <v>71.104303625524807</v>
      </c>
      <c r="M52" s="12">
        <v>8.4733069212719752</v>
      </c>
      <c r="N52" s="12">
        <v>30.560378953969931</v>
      </c>
      <c r="O52" s="13">
        <v>1337.4028465529755</v>
      </c>
      <c r="P52" s="10" t="s">
        <v>180</v>
      </c>
      <c r="Q52" s="28" t="s">
        <v>4</v>
      </c>
      <c r="R52" s="17">
        <v>1E-3</v>
      </c>
      <c r="S52" s="18">
        <v>1E-3</v>
      </c>
      <c r="T52" s="18">
        <v>1E-3</v>
      </c>
      <c r="U52" s="18">
        <v>-23.16648419532957</v>
      </c>
      <c r="V52" s="11">
        <v>22.640761778424295</v>
      </c>
      <c r="W52" s="12">
        <v>37.797155942948805</v>
      </c>
      <c r="X52" s="12">
        <v>1.8332097812158634</v>
      </c>
      <c r="Y52" s="13">
        <v>30.823044982849471</v>
      </c>
      <c r="Z52" s="10" t="s">
        <v>180</v>
      </c>
      <c r="AA52" s="28" t="s">
        <v>4</v>
      </c>
      <c r="AB52" s="17">
        <v>162415.83107999703</v>
      </c>
      <c r="AC52" s="18">
        <v>108365.78496279422</v>
      </c>
      <c r="AD52" s="18">
        <v>98185.734576932125</v>
      </c>
      <c r="AE52" s="19">
        <v>8789.5272478645293</v>
      </c>
      <c r="AF52" s="145">
        <f t="shared" si="0"/>
        <v>107.56246098299872</v>
      </c>
      <c r="AG52" s="146">
        <f t="shared" si="1"/>
        <v>1367.9632255069455</v>
      </c>
    </row>
    <row r="53" spans="1:34">
      <c r="A53" s="37">
        <v>6</v>
      </c>
      <c r="B53" s="38">
        <v>2024</v>
      </c>
      <c r="C53" s="31" t="s">
        <v>180</v>
      </c>
      <c r="D53" s="28" t="s">
        <v>5</v>
      </c>
      <c r="E53" s="11">
        <v>6.3507233876935167</v>
      </c>
      <c r="F53" s="12">
        <v>334.93885040392695</v>
      </c>
      <c r="G53" s="12">
        <v>39.919596881565766</v>
      </c>
      <c r="H53" s="13">
        <v>500.00115177053158</v>
      </c>
      <c r="I53" s="10" t="s">
        <v>180</v>
      </c>
      <c r="J53" s="28" t="s">
        <v>5</v>
      </c>
      <c r="K53" s="11">
        <v>31.584742074531739</v>
      </c>
      <c r="L53" s="12">
        <v>247.43188666866263</v>
      </c>
      <c r="M53" s="12">
        <v>33.180327385272342</v>
      </c>
      <c r="N53" s="12">
        <v>49.668407196800352</v>
      </c>
      <c r="O53" s="13">
        <v>3317.82536349988</v>
      </c>
      <c r="P53" s="10" t="s">
        <v>180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-2867.4916189261489</v>
      </c>
      <c r="V53" s="11">
        <v>-25.233018686838236</v>
      </c>
      <c r="W53" s="12">
        <v>87.507963735264298</v>
      </c>
      <c r="X53" s="12">
        <v>6.7402694962933838</v>
      </c>
      <c r="Y53" s="13">
        <v>1E-3</v>
      </c>
      <c r="Z53" s="10" t="s">
        <v>180</v>
      </c>
      <c r="AA53" s="28" t="s">
        <v>5</v>
      </c>
      <c r="AB53" s="17">
        <v>164003.46212736194</v>
      </c>
      <c r="AC53" s="18">
        <v>112822.41955744068</v>
      </c>
      <c r="AD53" s="18">
        <v>97094.630908809893</v>
      </c>
      <c r="AE53" s="19">
        <v>8436.0198635164743</v>
      </c>
      <c r="AF53" s="145">
        <f t="shared" si="0"/>
        <v>312.1969561284667</v>
      </c>
      <c r="AG53" s="146">
        <f t="shared" si="1"/>
        <v>3367.4937706966803</v>
      </c>
    </row>
    <row r="54" spans="1:34" ht="17" thickBot="1">
      <c r="A54" s="39">
        <v>7</v>
      </c>
      <c r="B54" s="54">
        <v>2024</v>
      </c>
      <c r="C54" s="32" t="s">
        <v>180</v>
      </c>
      <c r="D54" s="29" t="s">
        <v>6</v>
      </c>
      <c r="E54" s="21">
        <v>168.96076109220621</v>
      </c>
      <c r="F54" s="22">
        <v>132.1896650703587</v>
      </c>
      <c r="G54" s="22">
        <v>13.790043536327067</v>
      </c>
      <c r="H54" s="23">
        <v>215.13684651736571</v>
      </c>
      <c r="I54" s="20" t="s">
        <v>180</v>
      </c>
      <c r="J54" s="29" t="s">
        <v>6</v>
      </c>
      <c r="K54" s="21">
        <v>179.63914769030333</v>
      </c>
      <c r="L54" s="22">
        <v>137.99282040289472</v>
      </c>
      <c r="M54" s="22">
        <v>15.161768569130281</v>
      </c>
      <c r="N54" s="22">
        <v>33.888504830190421</v>
      </c>
      <c r="O54" s="23">
        <v>2223.2942129727612</v>
      </c>
      <c r="P54" s="20" t="s">
        <v>180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-2042.0448712855862</v>
      </c>
      <c r="V54" s="21">
        <v>-10.677386598097131</v>
      </c>
      <c r="W54" s="22">
        <v>-5.8021553325359871</v>
      </c>
      <c r="X54" s="22">
        <v>-1.3707250328032163</v>
      </c>
      <c r="Y54" s="23">
        <v>1E-3</v>
      </c>
      <c r="Z54" s="20" t="s">
        <v>180</v>
      </c>
      <c r="AA54" s="29" t="s">
        <v>6</v>
      </c>
      <c r="AB54" s="24">
        <v>163698.95344029076</v>
      </c>
      <c r="AC54" s="25">
        <v>111847.69118115478</v>
      </c>
      <c r="AD54" s="25">
        <v>97491.601605633259</v>
      </c>
      <c r="AE54" s="26">
        <v>8429.1787540903424</v>
      </c>
      <c r="AF54" s="147">
        <f t="shared" si="0"/>
        <v>332.79373666232834</v>
      </c>
      <c r="AG54" s="148">
        <f t="shared" si="1"/>
        <v>2257.1827178029516</v>
      </c>
    </row>
    <row r="55" spans="1:34">
      <c r="A55" s="35">
        <v>1</v>
      </c>
      <c r="B55" s="36">
        <v>2025</v>
      </c>
      <c r="C55" s="33" t="s">
        <v>181</v>
      </c>
      <c r="D55" s="27" t="s">
        <v>0</v>
      </c>
      <c r="E55" s="7">
        <v>276.53990792409729</v>
      </c>
      <c r="F55" s="8">
        <v>116.80012540334195</v>
      </c>
      <c r="G55" s="8">
        <v>13.713004895194187</v>
      </c>
      <c r="H55" s="9">
        <v>2060.6088078162929</v>
      </c>
      <c r="I55" s="6" t="s">
        <v>181</v>
      </c>
      <c r="J55" s="27" t="s">
        <v>0</v>
      </c>
      <c r="K55" s="7">
        <v>189.96776281661647</v>
      </c>
      <c r="L55" s="8">
        <v>100.8965859493933</v>
      </c>
      <c r="M55" s="8">
        <v>13.45855618831067</v>
      </c>
      <c r="N55" s="8">
        <v>63.047687660462501</v>
      </c>
      <c r="O55" s="9">
        <v>2717.3774290275333</v>
      </c>
      <c r="P55" s="6" t="s">
        <v>181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-719.81530887170265</v>
      </c>
      <c r="V55" s="7">
        <v>86.573145107480713</v>
      </c>
      <c r="W55" s="8">
        <v>15.904539453948635</v>
      </c>
      <c r="X55" s="8">
        <v>0.2554487068835159</v>
      </c>
      <c r="Y55" s="9">
        <v>1E-3</v>
      </c>
      <c r="Z55" s="6" t="s">
        <v>181</v>
      </c>
      <c r="AA55" s="27" t="s">
        <v>0</v>
      </c>
      <c r="AB55" s="14">
        <v>167598.53683677592</v>
      </c>
      <c r="AC55" s="15">
        <v>113319.33871763825</v>
      </c>
      <c r="AD55" s="15">
        <v>96902.871598351543</v>
      </c>
      <c r="AE55" s="16">
        <v>9202.5940430052397</v>
      </c>
      <c r="AF55" s="143">
        <f t="shared" si="0"/>
        <v>304.32290495432045</v>
      </c>
      <c r="AG55" s="144">
        <f t="shared" si="1"/>
        <v>2780.4251166879958</v>
      </c>
    </row>
    <row r="56" spans="1:34">
      <c r="A56" s="37">
        <v>2</v>
      </c>
      <c r="B56" s="38">
        <v>2025</v>
      </c>
      <c r="C56" s="31" t="s">
        <v>181</v>
      </c>
      <c r="D56" s="28" t="s">
        <v>1</v>
      </c>
      <c r="E56" s="11">
        <v>14.961033006576354</v>
      </c>
      <c r="F56" s="12">
        <v>449.88802993488929</v>
      </c>
      <c r="G56" s="12">
        <v>54.054949726282437</v>
      </c>
      <c r="H56" s="13">
        <v>434.32733905603993</v>
      </c>
      <c r="I56" s="10" t="s">
        <v>181</v>
      </c>
      <c r="J56" s="28" t="s">
        <v>1</v>
      </c>
      <c r="K56" s="11">
        <v>86.833323503621799</v>
      </c>
      <c r="L56" s="12">
        <v>573.07310026103698</v>
      </c>
      <c r="M56" s="12">
        <v>57.622126897240783</v>
      </c>
      <c r="N56" s="12">
        <v>43.077341590721076</v>
      </c>
      <c r="O56" s="13">
        <v>4447.6551666273263</v>
      </c>
      <c r="P56" s="10" t="s">
        <v>181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-4056.4041691620087</v>
      </c>
      <c r="V56" s="11">
        <v>-71.87129049704545</v>
      </c>
      <c r="W56" s="12">
        <v>-123.18407032614726</v>
      </c>
      <c r="X56" s="12">
        <v>-3.5661771709583325</v>
      </c>
      <c r="Y56" s="13">
        <v>1E-3</v>
      </c>
      <c r="Z56" s="10" t="s">
        <v>181</v>
      </c>
      <c r="AA56" s="28" t="s">
        <v>1</v>
      </c>
      <c r="AB56" s="17">
        <v>169093.63704094279</v>
      </c>
      <c r="AC56" s="18">
        <v>112871.99824132569</v>
      </c>
      <c r="AD56" s="18">
        <v>98180.193710200212</v>
      </c>
      <c r="AE56" s="19">
        <v>8839.2129327624298</v>
      </c>
      <c r="AF56" s="145">
        <f t="shared" si="0"/>
        <v>717.52855066189966</v>
      </c>
      <c r="AG56" s="146">
        <f t="shared" si="1"/>
        <v>4490.7325082180478</v>
      </c>
    </row>
    <row r="57" spans="1:34">
      <c r="A57" s="37">
        <v>3</v>
      </c>
      <c r="B57" s="38">
        <v>2025</v>
      </c>
      <c r="C57" s="31" t="s">
        <v>181</v>
      </c>
      <c r="D57" s="28" t="s">
        <v>2</v>
      </c>
      <c r="E57" s="11">
        <v>102.91343106410866</v>
      </c>
      <c r="F57" s="12">
        <v>124.49945460931744</v>
      </c>
      <c r="G57" s="12">
        <v>10.272377330728029</v>
      </c>
      <c r="H57" s="13">
        <v>556.68394917124954</v>
      </c>
      <c r="I57" s="10" t="s">
        <v>181</v>
      </c>
      <c r="J57" s="28" t="s">
        <v>2</v>
      </c>
      <c r="K57" s="11">
        <v>102.05004418989692</v>
      </c>
      <c r="L57" s="12">
        <v>135.9816028624399</v>
      </c>
      <c r="M57" s="12">
        <v>12.703777432739217</v>
      </c>
      <c r="N57" s="12">
        <v>53.947054340988231</v>
      </c>
      <c r="O57" s="13">
        <v>1747.9229161518138</v>
      </c>
      <c r="P57" s="10" t="s">
        <v>181</v>
      </c>
      <c r="Q57" s="28" t="s">
        <v>2</v>
      </c>
      <c r="R57" s="17">
        <v>1E-3</v>
      </c>
      <c r="S57" s="18">
        <v>1E-3</v>
      </c>
      <c r="T57" s="18">
        <v>1E-3</v>
      </c>
      <c r="U57" s="18">
        <v>-1245.1850213215525</v>
      </c>
      <c r="V57" s="11">
        <v>0.86438687421172133</v>
      </c>
      <c r="W57" s="12">
        <v>-11.481148253122479</v>
      </c>
      <c r="X57" s="12">
        <v>-2.4304001020111885</v>
      </c>
      <c r="Y57" s="13">
        <v>1E-3</v>
      </c>
      <c r="Z57" s="10" t="s">
        <v>181</v>
      </c>
      <c r="AA57" s="28" t="s">
        <v>2</v>
      </c>
      <c r="AB57" s="17">
        <v>169704.92768191893</v>
      </c>
      <c r="AC57" s="18">
        <v>112853.10405554507</v>
      </c>
      <c r="AD57" s="18">
        <v>99517.676550735909</v>
      </c>
      <c r="AE57" s="19">
        <v>9234.0375086823224</v>
      </c>
      <c r="AF57" s="145">
        <f t="shared" si="0"/>
        <v>250.73542448507607</v>
      </c>
      <c r="AG57" s="146">
        <f t="shared" si="1"/>
        <v>1801.8699704928019</v>
      </c>
    </row>
    <row r="58" spans="1:34">
      <c r="A58" s="37">
        <v>4</v>
      </c>
      <c r="B58" s="38">
        <v>2025</v>
      </c>
      <c r="C58" s="31" t="s">
        <v>181</v>
      </c>
      <c r="D58" s="28" t="s">
        <v>3</v>
      </c>
      <c r="E58" s="11">
        <v>66.604982749720605</v>
      </c>
      <c r="F58" s="12">
        <v>88.353886841477276</v>
      </c>
      <c r="G58" s="12">
        <v>8.2913721379262721</v>
      </c>
      <c r="H58" s="13">
        <v>423.7226845494331</v>
      </c>
      <c r="I58" s="10" t="s">
        <v>181</v>
      </c>
      <c r="J58" s="28" t="s">
        <v>3</v>
      </c>
      <c r="K58" s="11">
        <v>69.342433705324609</v>
      </c>
      <c r="L58" s="12">
        <v>101.37415286724506</v>
      </c>
      <c r="M58" s="12">
        <v>10.817117010630398</v>
      </c>
      <c r="N58" s="12">
        <v>22.658507904634117</v>
      </c>
      <c r="O58" s="13">
        <v>1225.8994966607765</v>
      </c>
      <c r="P58" s="10" t="s">
        <v>181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-787.55004830234361</v>
      </c>
      <c r="V58" s="11">
        <v>-2.736450955603936</v>
      </c>
      <c r="W58" s="12">
        <v>-13.019266025767815</v>
      </c>
      <c r="X58" s="12">
        <v>-2.5247448727041211</v>
      </c>
      <c r="Y58" s="13">
        <v>-37.28327171363388</v>
      </c>
      <c r="Z58" s="10" t="s">
        <v>181</v>
      </c>
      <c r="AA58" s="28" t="s">
        <v>3</v>
      </c>
      <c r="AB58" s="17">
        <v>172308.83147574455</v>
      </c>
      <c r="AC58" s="18">
        <v>112591.22495055789</v>
      </c>
      <c r="AD58" s="18">
        <v>98758.471606704494</v>
      </c>
      <c r="AE58" s="19">
        <v>9575.3645706595744</v>
      </c>
      <c r="AF58" s="145">
        <f t="shared" si="0"/>
        <v>181.53370358320007</v>
      </c>
      <c r="AG58" s="146">
        <f t="shared" si="1"/>
        <v>1248.5580045654106</v>
      </c>
    </row>
    <row r="59" spans="1:34">
      <c r="A59" s="37">
        <v>5</v>
      </c>
      <c r="B59" s="38">
        <v>2025</v>
      </c>
      <c r="C59" s="31" t="s">
        <v>181</v>
      </c>
      <c r="D59" s="28" t="s">
        <v>4</v>
      </c>
      <c r="E59" s="11">
        <v>52.21321908756628</v>
      </c>
      <c r="F59" s="12">
        <v>116.68605678544233</v>
      </c>
      <c r="G59" s="12">
        <v>11.297717780346535</v>
      </c>
      <c r="H59" s="13">
        <v>1455.2643544263674</v>
      </c>
      <c r="I59" s="10" t="s">
        <v>181</v>
      </c>
      <c r="J59" s="28" t="s">
        <v>4</v>
      </c>
      <c r="K59" s="11">
        <v>28.403881917211599</v>
      </c>
      <c r="L59" s="12">
        <v>75.989564138732419</v>
      </c>
      <c r="M59" s="12">
        <v>9.3836303642637198</v>
      </c>
      <c r="N59" s="12">
        <v>31.548080439296506</v>
      </c>
      <c r="O59" s="13">
        <v>1417.7217566147247</v>
      </c>
      <c r="P59" s="10" t="s">
        <v>181</v>
      </c>
      <c r="Q59" s="28" t="s">
        <v>4</v>
      </c>
      <c r="R59" s="17">
        <v>1E-3</v>
      </c>
      <c r="S59" s="18">
        <v>1E-3</v>
      </c>
      <c r="T59" s="18">
        <v>1E-3</v>
      </c>
      <c r="U59" s="18">
        <v>-31.28875434128804</v>
      </c>
      <c r="V59" s="11">
        <v>23.810337170354675</v>
      </c>
      <c r="W59" s="12">
        <v>40.697492646709954</v>
      </c>
      <c r="X59" s="12">
        <v>1.9150874160828126</v>
      </c>
      <c r="Y59" s="13">
        <v>37.285271713633875</v>
      </c>
      <c r="Z59" s="10" t="s">
        <v>181</v>
      </c>
      <c r="AA59" s="28" t="s">
        <v>4</v>
      </c>
      <c r="AB59" s="17">
        <v>171069.84742623506</v>
      </c>
      <c r="AC59" s="18">
        <v>108875.50960747761</v>
      </c>
      <c r="AD59" s="18">
        <v>97211.082473128292</v>
      </c>
      <c r="AE59" s="19">
        <v>9068.4359964008254</v>
      </c>
      <c r="AF59" s="145">
        <f t="shared" si="0"/>
        <v>113.77707642020775</v>
      </c>
      <c r="AG59" s="146">
        <f t="shared" si="1"/>
        <v>1449.2698370540211</v>
      </c>
    </row>
    <row r="60" spans="1:34">
      <c r="A60" s="37">
        <v>6</v>
      </c>
      <c r="B60" s="38">
        <v>2025</v>
      </c>
      <c r="C60" s="31" t="s">
        <v>181</v>
      </c>
      <c r="D60" s="28" t="s">
        <v>5</v>
      </c>
      <c r="E60" s="11">
        <v>6.5478413682503085</v>
      </c>
      <c r="F60" s="12">
        <v>358.82865351527045</v>
      </c>
      <c r="G60" s="12">
        <v>43.756530050023599</v>
      </c>
      <c r="H60" s="13">
        <v>529.35980941428943</v>
      </c>
      <c r="I60" s="10" t="s">
        <v>181</v>
      </c>
      <c r="J60" s="28" t="s">
        <v>5</v>
      </c>
      <c r="K60" s="11">
        <v>31.313602343860403</v>
      </c>
      <c r="L60" s="12">
        <v>261.20116104436789</v>
      </c>
      <c r="M60" s="12">
        <v>36.024864903199671</v>
      </c>
      <c r="N60" s="12">
        <v>51.990716516593437</v>
      </c>
      <c r="O60" s="13">
        <v>3552.3017930934129</v>
      </c>
      <c r="P60" s="10" t="s">
        <v>181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-3074.931700195717</v>
      </c>
      <c r="V60" s="11">
        <v>-24.764760975610098</v>
      </c>
      <c r="W60" s="12">
        <v>97.628492470902557</v>
      </c>
      <c r="X60" s="12">
        <v>7.7326651468239813</v>
      </c>
      <c r="Y60" s="13">
        <v>1E-3</v>
      </c>
      <c r="Z60" s="10" t="s">
        <v>181</v>
      </c>
      <c r="AA60" s="28" t="s">
        <v>5</v>
      </c>
      <c r="AB60" s="17">
        <v>172682.09515613469</v>
      </c>
      <c r="AC60" s="18">
        <v>113332.92859976654</v>
      </c>
      <c r="AD60" s="18">
        <v>96120.331743805742</v>
      </c>
      <c r="AE60" s="19">
        <v>8714.6988365883517</v>
      </c>
      <c r="AF60" s="145">
        <f t="shared" si="0"/>
        <v>328.53962829142796</v>
      </c>
      <c r="AG60" s="146">
        <f t="shared" si="1"/>
        <v>3604.2925096100062</v>
      </c>
    </row>
    <row r="61" spans="1:34" ht="17" thickBot="1">
      <c r="A61" s="39">
        <v>7</v>
      </c>
      <c r="B61" s="54">
        <v>2025</v>
      </c>
      <c r="C61" s="32" t="s">
        <v>181</v>
      </c>
      <c r="D61" s="29" t="s">
        <v>6</v>
      </c>
      <c r="E61" s="21">
        <v>174.20540138359456</v>
      </c>
      <c r="F61" s="22">
        <v>141.61866798401212</v>
      </c>
      <c r="G61" s="22">
        <v>15.115914934029647</v>
      </c>
      <c r="H61" s="23">
        <v>227.78925900537334</v>
      </c>
      <c r="I61" s="20" t="s">
        <v>181</v>
      </c>
      <c r="J61" s="29" t="s">
        <v>6</v>
      </c>
      <c r="K61" s="21">
        <v>186.07476810738217</v>
      </c>
      <c r="L61" s="22">
        <v>148.1587079505357</v>
      </c>
      <c r="M61" s="22">
        <v>16.491794058146318</v>
      </c>
      <c r="N61" s="22">
        <v>34.935262254156328</v>
      </c>
      <c r="O61" s="23">
        <v>2336.5233796263142</v>
      </c>
      <c r="P61" s="20" t="s">
        <v>181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-2143.668382875097</v>
      </c>
      <c r="V61" s="21">
        <v>-11.868366723787616</v>
      </c>
      <c r="W61" s="22">
        <v>-6.539039966523573</v>
      </c>
      <c r="X61" s="22">
        <v>-1.3748791241166682</v>
      </c>
      <c r="Y61" s="23">
        <v>1E-3</v>
      </c>
      <c r="Z61" s="20" t="s">
        <v>181</v>
      </c>
      <c r="AA61" s="29" t="s">
        <v>6</v>
      </c>
      <c r="AB61" s="24">
        <v>172298.50346800647</v>
      </c>
      <c r="AC61" s="25">
        <v>112243.03233621515</v>
      </c>
      <c r="AD61" s="25">
        <v>96515.768492507865</v>
      </c>
      <c r="AE61" s="26">
        <v>8708.0048226064464</v>
      </c>
      <c r="AF61" s="147">
        <f t="shared" si="0"/>
        <v>350.72527011606417</v>
      </c>
      <c r="AG61" s="148">
        <f t="shared" si="1"/>
        <v>2371.4586418804706</v>
      </c>
    </row>
    <row r="62" spans="1:34">
      <c r="A62" s="35">
        <v>1</v>
      </c>
      <c r="B62" s="36">
        <v>2026</v>
      </c>
      <c r="C62" s="33" t="s">
        <v>189</v>
      </c>
      <c r="D62" s="27" t="s">
        <v>0</v>
      </c>
      <c r="E62" s="7">
        <v>284.42232554867485</v>
      </c>
      <c r="F62" s="8">
        <v>125.77573776670219</v>
      </c>
      <c r="G62" s="8">
        <v>15.153185423764825</v>
      </c>
      <c r="H62" s="9">
        <v>2179.3862602561953</v>
      </c>
      <c r="I62" s="6" t="s">
        <v>189</v>
      </c>
      <c r="J62" s="27" t="s">
        <v>0</v>
      </c>
      <c r="K62" s="7">
        <v>195.49008936220258</v>
      </c>
      <c r="L62" s="8">
        <v>108.43253813021616</v>
      </c>
      <c r="M62" s="8">
        <v>14.831669253308389</v>
      </c>
      <c r="N62" s="8">
        <v>62.692599837825199</v>
      </c>
      <c r="O62" s="9">
        <v>2833.6557496495861</v>
      </c>
      <c r="P62" s="6" t="s">
        <v>189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-716.96108923121574</v>
      </c>
      <c r="V62" s="7">
        <v>88.933236186472229</v>
      </c>
      <c r="W62" s="8">
        <v>17.344199636486032</v>
      </c>
      <c r="X62" s="8">
        <v>0.32251617045642939</v>
      </c>
      <c r="Y62" s="9">
        <v>1E-3</v>
      </c>
      <c r="Z62" s="6" t="s">
        <v>189</v>
      </c>
      <c r="AA62" s="27" t="s">
        <v>0</v>
      </c>
      <c r="AB62" s="14">
        <v>175469.27286084209</v>
      </c>
      <c r="AC62" s="15">
        <v>112849.02545196957</v>
      </c>
      <c r="AD62" s="15">
        <v>95025.07763343137</v>
      </c>
      <c r="AE62" s="16">
        <v>9480.1596718656438</v>
      </c>
      <c r="AF62" s="143">
        <f t="shared" si="0"/>
        <v>318.75429674572717</v>
      </c>
      <c r="AG62" s="144">
        <f t="shared" si="1"/>
        <v>2896.3483494874113</v>
      </c>
      <c r="AH62" s="369"/>
    </row>
    <row r="63" spans="1:34">
      <c r="A63" s="37">
        <v>2</v>
      </c>
      <c r="B63" s="38">
        <v>2026</v>
      </c>
      <c r="C63" s="31" t="s">
        <v>189</v>
      </c>
      <c r="D63" s="28" t="s">
        <v>1</v>
      </c>
      <c r="E63" s="11">
        <v>15.42954494840088</v>
      </c>
      <c r="F63" s="12">
        <v>484.52135569314828</v>
      </c>
      <c r="G63" s="12">
        <v>59.741592165202313</v>
      </c>
      <c r="H63" s="13">
        <v>459.68746120483308</v>
      </c>
      <c r="I63" s="10" t="s">
        <v>189</v>
      </c>
      <c r="J63" s="28" t="s">
        <v>1</v>
      </c>
      <c r="K63" s="11">
        <v>89.217304953668844</v>
      </c>
      <c r="L63" s="12">
        <v>618.04320040457799</v>
      </c>
      <c r="M63" s="12">
        <v>63.779700831463572</v>
      </c>
      <c r="N63" s="12">
        <v>44.609332446784883</v>
      </c>
      <c r="O63" s="13">
        <v>4775.4277861097125</v>
      </c>
      <c r="P63" s="10" t="s">
        <v>189</v>
      </c>
      <c r="Q63" s="28" t="s">
        <v>1</v>
      </c>
      <c r="R63" s="17">
        <v>1E-3</v>
      </c>
      <c r="S63" s="18">
        <v>1E-3</v>
      </c>
      <c r="T63" s="18">
        <v>1E-3</v>
      </c>
      <c r="U63" s="18">
        <v>-4360.3486573516639</v>
      </c>
      <c r="V63" s="11">
        <v>-73.786760005267965</v>
      </c>
      <c r="W63" s="12">
        <v>-133.52084471142976</v>
      </c>
      <c r="X63" s="12">
        <v>-4.0371086662612905</v>
      </c>
      <c r="Y63" s="13">
        <v>1E-3</v>
      </c>
      <c r="Z63" s="10" t="s">
        <v>189</v>
      </c>
      <c r="AA63" s="28" t="s">
        <v>1</v>
      </c>
      <c r="AB63" s="17">
        <v>177008.2830508659</v>
      </c>
      <c r="AC63" s="18">
        <v>112477.25630017111</v>
      </c>
      <c r="AD63" s="18">
        <v>96302.330832415959</v>
      </c>
      <c r="AE63" s="19">
        <v>9116.8499007365408</v>
      </c>
      <c r="AF63" s="145">
        <f t="shared" si="0"/>
        <v>771.04020618971049</v>
      </c>
      <c r="AG63" s="146">
        <f t="shared" si="1"/>
        <v>4820.0371185564973</v>
      </c>
    </row>
    <row r="64" spans="1:34">
      <c r="A64" s="37">
        <v>3</v>
      </c>
      <c r="B64" s="38">
        <v>2026</v>
      </c>
      <c r="C64" s="31" t="s">
        <v>189</v>
      </c>
      <c r="D64" s="28" t="s">
        <v>2</v>
      </c>
      <c r="E64" s="11">
        <v>106.1978531344956</v>
      </c>
      <c r="F64" s="12">
        <v>134.2135084565011</v>
      </c>
      <c r="G64" s="12">
        <v>11.354477436987517</v>
      </c>
      <c r="H64" s="13">
        <v>588.8508627609308</v>
      </c>
      <c r="I64" s="10" t="s">
        <v>189</v>
      </c>
      <c r="J64" s="28" t="s">
        <v>2</v>
      </c>
      <c r="K64" s="11">
        <v>106.38906911108788</v>
      </c>
      <c r="L64" s="12">
        <v>149.83528421716255</v>
      </c>
      <c r="M64" s="12">
        <v>14.337134255570634</v>
      </c>
      <c r="N64" s="12">
        <v>54.849268570738381</v>
      </c>
      <c r="O64" s="13">
        <v>1846.8700024550535</v>
      </c>
      <c r="P64" s="10" t="s">
        <v>189</v>
      </c>
      <c r="Q64" s="28" t="s">
        <v>2</v>
      </c>
      <c r="R64" s="17">
        <v>1E-3</v>
      </c>
      <c r="S64" s="18">
        <v>1E-3</v>
      </c>
      <c r="T64" s="18">
        <v>1E-3</v>
      </c>
      <c r="U64" s="18">
        <v>-1312.8674082648611</v>
      </c>
      <c r="V64" s="11">
        <v>-0.19021597659228001</v>
      </c>
      <c r="W64" s="12">
        <v>-15.62077576066144</v>
      </c>
      <c r="X64" s="12">
        <v>-2.9816568185831187</v>
      </c>
      <c r="Y64" s="13">
        <v>1E-3</v>
      </c>
      <c r="Z64" s="10" t="s">
        <v>189</v>
      </c>
      <c r="AA64" s="28" t="s">
        <v>2</v>
      </c>
      <c r="AB64" s="17">
        <v>178644.4866381865</v>
      </c>
      <c r="AC64" s="18">
        <v>112586.10704531157</v>
      </c>
      <c r="AD64" s="18">
        <v>97639.93740548889</v>
      </c>
      <c r="AE64" s="19">
        <v>9511.663174518113</v>
      </c>
      <c r="AF64" s="145">
        <f t="shared" si="0"/>
        <v>270.56148758382108</v>
      </c>
      <c r="AG64" s="146">
        <f t="shared" si="1"/>
        <v>1901.7192710257918</v>
      </c>
    </row>
    <row r="65" spans="1:34">
      <c r="A65" s="37">
        <v>4</v>
      </c>
      <c r="B65" s="38">
        <v>2026</v>
      </c>
      <c r="C65" s="31" t="s">
        <v>189</v>
      </c>
      <c r="D65" s="28" t="s">
        <v>3</v>
      </c>
      <c r="E65" s="11">
        <v>68.666601551303643</v>
      </c>
      <c r="F65" s="12">
        <v>95.285350240832315</v>
      </c>
      <c r="G65" s="12">
        <v>9.1651865028809834</v>
      </c>
      <c r="H65" s="13">
        <v>449.29950450017174</v>
      </c>
      <c r="I65" s="10" t="s">
        <v>189</v>
      </c>
      <c r="J65" s="28" t="s">
        <v>3</v>
      </c>
      <c r="K65" s="11">
        <v>71.212230664373834</v>
      </c>
      <c r="L65" s="12">
        <v>108.97093478274805</v>
      </c>
      <c r="M65" s="12">
        <v>11.97372567081451</v>
      </c>
      <c r="N65" s="12">
        <v>22.519357332948854</v>
      </c>
      <c r="O65" s="13">
        <v>1297.8380992666766</v>
      </c>
      <c r="P65" s="10" t="s">
        <v>189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-824.18503154330404</v>
      </c>
      <c r="V65" s="11">
        <v>-2.5446291130701719</v>
      </c>
      <c r="W65" s="12">
        <v>-13.684584541915749</v>
      </c>
      <c r="X65" s="12">
        <v>-2.8075391679335318</v>
      </c>
      <c r="Y65" s="13">
        <v>-46.87092055614962</v>
      </c>
      <c r="Z65" s="10" t="s">
        <v>189</v>
      </c>
      <c r="AA65" s="28" t="s">
        <v>3</v>
      </c>
      <c r="AB65" s="17">
        <v>181091.88070300908</v>
      </c>
      <c r="AC65" s="18">
        <v>112363.94278044111</v>
      </c>
      <c r="AD65" s="18">
        <v>96881.132023032347</v>
      </c>
      <c r="AE65" s="19">
        <v>9852.9541876092553</v>
      </c>
      <c r="AF65" s="145">
        <f t="shared" si="0"/>
        <v>192.1568911179364</v>
      </c>
      <c r="AG65" s="146">
        <f t="shared" si="1"/>
        <v>1320.3574565996255</v>
      </c>
    </row>
    <row r="66" spans="1:34">
      <c r="A66" s="37">
        <v>5</v>
      </c>
      <c r="B66" s="38">
        <v>2026</v>
      </c>
      <c r="C66" s="31" t="s">
        <v>189</v>
      </c>
      <c r="D66" s="28" t="s">
        <v>4</v>
      </c>
      <c r="E66" s="11">
        <v>53.844626832055766</v>
      </c>
      <c r="F66" s="12">
        <v>125.7880770226939</v>
      </c>
      <c r="G66" s="12">
        <v>12.48310122432548</v>
      </c>
      <c r="H66" s="13">
        <v>1544.6756284053617</v>
      </c>
      <c r="I66" s="10" t="s">
        <v>189</v>
      </c>
      <c r="J66" s="28" t="s">
        <v>4</v>
      </c>
      <c r="K66" s="11">
        <v>28.827771677905627</v>
      </c>
      <c r="L66" s="12">
        <v>81.599915009313833</v>
      </c>
      <c r="M66" s="12">
        <v>10.485294385135973</v>
      </c>
      <c r="N66" s="12">
        <v>32.287609019949095</v>
      </c>
      <c r="O66" s="13">
        <v>1506.6008227724701</v>
      </c>
      <c r="P66" s="10" t="s">
        <v>189</v>
      </c>
      <c r="Q66" s="28" t="s">
        <v>4</v>
      </c>
      <c r="R66" s="17">
        <v>1E-3</v>
      </c>
      <c r="S66" s="18">
        <v>1E-3</v>
      </c>
      <c r="T66" s="18">
        <v>1E-3</v>
      </c>
      <c r="U66" s="18">
        <v>-41.083723943206849</v>
      </c>
      <c r="V66" s="11">
        <v>25.017855154150116</v>
      </c>
      <c r="W66" s="12">
        <v>44.189162013380155</v>
      </c>
      <c r="X66" s="12">
        <v>1.9988068391895062</v>
      </c>
      <c r="Y66" s="13">
        <v>46.872920556149616</v>
      </c>
      <c r="Z66" s="10" t="s">
        <v>189</v>
      </c>
      <c r="AA66" s="28" t="s">
        <v>4</v>
      </c>
      <c r="AB66" s="17">
        <v>179912.61335786292</v>
      </c>
      <c r="AC66" s="18">
        <v>108670.96233916999</v>
      </c>
      <c r="AD66" s="18">
        <v>95332.880593727008</v>
      </c>
      <c r="AE66" s="19">
        <v>9346.1767465240919</v>
      </c>
      <c r="AF66" s="145">
        <f t="shared" si="0"/>
        <v>120.91298107235544</v>
      </c>
      <c r="AG66" s="146">
        <f t="shared" si="1"/>
        <v>1538.8884317924192</v>
      </c>
    </row>
    <row r="67" spans="1:34">
      <c r="A67" s="37">
        <v>6</v>
      </c>
      <c r="B67" s="38">
        <v>2026</v>
      </c>
      <c r="C67" s="31" t="s">
        <v>189</v>
      </c>
      <c r="D67" s="28" t="s">
        <v>5</v>
      </c>
      <c r="E67" s="11">
        <v>6.7504345808372674</v>
      </c>
      <c r="F67" s="12">
        <v>386.33235206742228</v>
      </c>
      <c r="G67" s="12">
        <v>48.344433279033723</v>
      </c>
      <c r="H67" s="13">
        <v>562.22192752939611</v>
      </c>
      <c r="I67" s="10" t="s">
        <v>189</v>
      </c>
      <c r="J67" s="28" t="s">
        <v>5</v>
      </c>
      <c r="K67" s="11">
        <v>31.044035903484676</v>
      </c>
      <c r="L67" s="12">
        <v>277.44004594433557</v>
      </c>
      <c r="M67" s="12">
        <v>39.444735696083086</v>
      </c>
      <c r="N67" s="12">
        <v>53.944563647483577</v>
      </c>
      <c r="O67" s="13">
        <v>3812.718028510586</v>
      </c>
      <c r="P67" s="10" t="s">
        <v>189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-3304.4396646286737</v>
      </c>
      <c r="V67" s="11">
        <v>-24.292601322647414</v>
      </c>
      <c r="W67" s="12">
        <v>108.89330612308656</v>
      </c>
      <c r="X67" s="12">
        <v>8.900697582950615</v>
      </c>
      <c r="Y67" s="13">
        <v>1E-3</v>
      </c>
      <c r="Z67" s="10" t="s">
        <v>189</v>
      </c>
      <c r="AA67" s="28" t="s">
        <v>5</v>
      </c>
      <c r="AB67" s="17">
        <v>181551.53293530742</v>
      </c>
      <c r="AC67" s="18">
        <v>112889.55788742779</v>
      </c>
      <c r="AD67" s="18">
        <v>94242.267609663279</v>
      </c>
      <c r="AE67" s="19">
        <v>8992.1692212370799</v>
      </c>
      <c r="AF67" s="145">
        <f t="shared" si="0"/>
        <v>347.92881754390328</v>
      </c>
      <c r="AG67" s="146">
        <f t="shared" si="1"/>
        <v>3866.6625921580694</v>
      </c>
    </row>
    <row r="68" spans="1:34" ht="17" thickBot="1">
      <c r="A68" s="39">
        <v>7</v>
      </c>
      <c r="B68" s="54">
        <v>2026</v>
      </c>
      <c r="C68" s="32" t="s">
        <v>189</v>
      </c>
      <c r="D68" s="29" t="s">
        <v>6</v>
      </c>
      <c r="E68" s="21">
        <v>179.59507803550929</v>
      </c>
      <c r="F68" s="22">
        <v>152.48141963716358</v>
      </c>
      <c r="G68" s="22">
        <v>16.701864415584115</v>
      </c>
      <c r="H68" s="23">
        <v>241.96507735743242</v>
      </c>
      <c r="I68" s="20" t="s">
        <v>189</v>
      </c>
      <c r="J68" s="29" t="s">
        <v>6</v>
      </c>
      <c r="K68" s="21">
        <v>192.72596295855385</v>
      </c>
      <c r="L68" s="22">
        <v>160.07588239610939</v>
      </c>
      <c r="M68" s="22">
        <v>18.091580355402723</v>
      </c>
      <c r="N68" s="22">
        <v>36.029320698475743</v>
      </c>
      <c r="O68" s="23">
        <v>2456.9640808097993</v>
      </c>
      <c r="P68" s="20" t="s">
        <v>189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-2251.0273241508426</v>
      </c>
      <c r="V68" s="21">
        <v>-13.129884923044505</v>
      </c>
      <c r="W68" s="22">
        <v>-7.5934627589457735</v>
      </c>
      <c r="X68" s="22">
        <v>-1.3887159398186095</v>
      </c>
      <c r="Y68" s="23">
        <v>1E-3</v>
      </c>
      <c r="Z68" s="20" t="s">
        <v>189</v>
      </c>
      <c r="AA68" s="29" t="s">
        <v>6</v>
      </c>
      <c r="AB68" s="24">
        <v>181082.66924106449</v>
      </c>
      <c r="AC68" s="25">
        <v>111719.49137305768</v>
      </c>
      <c r="AD68" s="25">
        <v>94638.897615273992</v>
      </c>
      <c r="AE68" s="26">
        <v>8985.5883323406961</v>
      </c>
      <c r="AF68" s="147">
        <f t="shared" si="0"/>
        <v>370.89342571006591</v>
      </c>
      <c r="AG68" s="148">
        <f t="shared" si="1"/>
        <v>2492.9934015082749</v>
      </c>
    </row>
    <row r="69" spans="1:34">
      <c r="A69" s="35">
        <v>1</v>
      </c>
      <c r="B69" s="36">
        <v>2027</v>
      </c>
      <c r="C69" s="33" t="s">
        <v>190</v>
      </c>
      <c r="D69" s="27" t="s">
        <v>0</v>
      </c>
      <c r="E69" s="7">
        <v>292.49568328960504</v>
      </c>
      <c r="F69" s="8">
        <v>136.1959970018155</v>
      </c>
      <c r="G69" s="8">
        <v>16.877104230875574</v>
      </c>
      <c r="H69" s="9">
        <v>2314.5665149671404</v>
      </c>
      <c r="I69" s="6" t="s">
        <v>190</v>
      </c>
      <c r="J69" s="27" t="s">
        <v>0</v>
      </c>
      <c r="K69" s="7">
        <v>201.15313895462276</v>
      </c>
      <c r="L69" s="8">
        <v>117.09616736173538</v>
      </c>
      <c r="M69" s="8">
        <v>16.480456125777668</v>
      </c>
      <c r="N69" s="8">
        <v>61.809316962307463</v>
      </c>
      <c r="O69" s="9">
        <v>2954.6008916044866</v>
      </c>
      <c r="P69" s="6" t="s">
        <v>190</v>
      </c>
      <c r="Q69" s="27" t="s">
        <v>0</v>
      </c>
      <c r="R69" s="14">
        <v>1E-3</v>
      </c>
      <c r="S69" s="15">
        <v>1E-3</v>
      </c>
      <c r="T69" s="15">
        <v>1E-3</v>
      </c>
      <c r="U69" s="15">
        <v>-701.84269359965413</v>
      </c>
      <c r="V69" s="7">
        <v>91.343544334982269</v>
      </c>
      <c r="W69" s="8">
        <v>19.100829640080089</v>
      </c>
      <c r="X69" s="8">
        <v>0.39764810509790199</v>
      </c>
      <c r="Y69" s="9">
        <v>1E-3</v>
      </c>
      <c r="Z69" s="6" t="s">
        <v>190</v>
      </c>
      <c r="AA69" s="27" t="s">
        <v>0</v>
      </c>
      <c r="AB69" s="14">
        <v>183446.04193382364</v>
      </c>
      <c r="AC69" s="15">
        <v>111558.60759814968</v>
      </c>
      <c r="AD69" s="15">
        <v>92302.344578159871</v>
      </c>
      <c r="AE69" s="16">
        <v>9767.8915464688125</v>
      </c>
      <c r="AF69" s="143">
        <f t="shared" si="0"/>
        <v>334.72976244213578</v>
      </c>
      <c r="AG69" s="144">
        <f t="shared" si="1"/>
        <v>3016.4102085667942</v>
      </c>
      <c r="AH69" s="451"/>
    </row>
    <row r="70" spans="1:34">
      <c r="A70" s="37">
        <v>2</v>
      </c>
      <c r="B70" s="38">
        <v>2027</v>
      </c>
      <c r="C70" s="31" t="s">
        <v>190</v>
      </c>
      <c r="D70" s="28" t="s">
        <v>1</v>
      </c>
      <c r="E70" s="11">
        <v>15.898599168339661</v>
      </c>
      <c r="F70" s="12">
        <v>524.78343850282681</v>
      </c>
      <c r="G70" s="12">
        <v>66.556434768693919</v>
      </c>
      <c r="H70" s="13">
        <v>488.52452202823252</v>
      </c>
      <c r="I70" s="10" t="s">
        <v>190</v>
      </c>
      <c r="J70" s="28" t="s">
        <v>1</v>
      </c>
      <c r="K70" s="11">
        <v>91.658792932063108</v>
      </c>
      <c r="L70" s="12">
        <v>669.56720730994721</v>
      </c>
      <c r="M70" s="12">
        <v>71.089848669781077</v>
      </c>
      <c r="N70" s="12">
        <v>46.460549472003592</v>
      </c>
      <c r="O70" s="13">
        <v>5141.935467682144</v>
      </c>
      <c r="P70" s="10" t="s">
        <v>190</v>
      </c>
      <c r="Q70" s="28" t="s">
        <v>1</v>
      </c>
      <c r="R70" s="17">
        <v>1E-3</v>
      </c>
      <c r="S70" s="18">
        <v>1E-3</v>
      </c>
      <c r="T70" s="18">
        <v>1E-3</v>
      </c>
      <c r="U70" s="18">
        <v>-4699.8704951259151</v>
      </c>
      <c r="V70" s="11">
        <v>-75.759193763723445</v>
      </c>
      <c r="W70" s="12">
        <v>-144.78276880712079</v>
      </c>
      <c r="X70" s="12">
        <v>-4.5324139010871116</v>
      </c>
      <c r="Y70" s="13">
        <v>1E-3</v>
      </c>
      <c r="Z70" s="10" t="s">
        <v>190</v>
      </c>
      <c r="AA70" s="28" t="s">
        <v>1</v>
      </c>
      <c r="AB70" s="17">
        <v>185033.13851130597</v>
      </c>
      <c r="AC70" s="18">
        <v>111275.24914874611</v>
      </c>
      <c r="AD70" s="18">
        <v>93579.354960587953</v>
      </c>
      <c r="AE70" s="19">
        <v>9404.6467928355305</v>
      </c>
      <c r="AF70" s="145">
        <f t="shared" si="0"/>
        <v>832.31584891179136</v>
      </c>
      <c r="AG70" s="146">
        <f t="shared" si="1"/>
        <v>5188.3960171541476</v>
      </c>
    </row>
    <row r="71" spans="1:34">
      <c r="A71" s="37">
        <v>3</v>
      </c>
      <c r="B71" s="38">
        <v>2027</v>
      </c>
      <c r="C71" s="31" t="s">
        <v>190</v>
      </c>
      <c r="D71" s="28" t="s">
        <v>2</v>
      </c>
      <c r="E71" s="11">
        <v>109.99801758080585</v>
      </c>
      <c r="F71" s="12">
        <v>145.36161985387284</v>
      </c>
      <c r="G71" s="12">
        <v>12.654443373154409</v>
      </c>
      <c r="H71" s="13">
        <v>625.52281953826923</v>
      </c>
      <c r="I71" s="10" t="s">
        <v>190</v>
      </c>
      <c r="J71" s="28" t="s">
        <v>2</v>
      </c>
      <c r="K71" s="11">
        <v>110.29843096356203</v>
      </c>
      <c r="L71" s="12">
        <v>166.18671368876215</v>
      </c>
      <c r="M71" s="12">
        <v>16.310153944997122</v>
      </c>
      <c r="N71" s="12">
        <v>55.517298302172165</v>
      </c>
      <c r="O71" s="13">
        <v>1956.6744677756828</v>
      </c>
      <c r="P71" s="10" t="s">
        <v>190</v>
      </c>
      <c r="Q71" s="28" t="s">
        <v>2</v>
      </c>
      <c r="R71" s="17">
        <v>1E-3</v>
      </c>
      <c r="S71" s="18">
        <v>1E-3</v>
      </c>
      <c r="T71" s="18">
        <v>1E-3</v>
      </c>
      <c r="U71" s="18">
        <v>-1386.6679465395864</v>
      </c>
      <c r="V71" s="11">
        <v>-0.29941338275615831</v>
      </c>
      <c r="W71" s="12">
        <v>-20.824093834889272</v>
      </c>
      <c r="X71" s="12">
        <v>-3.654710571842716</v>
      </c>
      <c r="Y71" s="13">
        <v>1E-3</v>
      </c>
      <c r="Z71" s="10" t="s">
        <v>190</v>
      </c>
      <c r="AA71" s="28" t="s">
        <v>2</v>
      </c>
      <c r="AB71" s="17">
        <v>188972.09062817259</v>
      </c>
      <c r="AC71" s="18">
        <v>111389.24728068753</v>
      </c>
      <c r="AD71" s="18">
        <v>94917.843772277716</v>
      </c>
      <c r="AE71" s="19">
        <v>9799.4561508466286</v>
      </c>
      <c r="AF71" s="145">
        <f t="shared" ref="AF71:AF89" si="2">SUM(K71:M71)</f>
        <v>292.79529859732128</v>
      </c>
      <c r="AG71" s="146">
        <f t="shared" ref="AG71:AG89" si="3">SUM(N71:O71)</f>
        <v>2012.1917660778549</v>
      </c>
    </row>
    <row r="72" spans="1:34">
      <c r="A72" s="37">
        <v>4</v>
      </c>
      <c r="B72" s="38">
        <v>2027</v>
      </c>
      <c r="C72" s="31" t="s">
        <v>190</v>
      </c>
      <c r="D72" s="28" t="s">
        <v>3</v>
      </c>
      <c r="E72" s="11">
        <v>70.65188391287748</v>
      </c>
      <c r="F72" s="12">
        <v>103.18489622616113</v>
      </c>
      <c r="G72" s="12">
        <v>10.213314381579941</v>
      </c>
      <c r="H72" s="13">
        <v>478.36646953892534</v>
      </c>
      <c r="I72" s="10" t="s">
        <v>190</v>
      </c>
      <c r="J72" s="28" t="s">
        <v>3</v>
      </c>
      <c r="K72" s="11">
        <v>73.292367197734237</v>
      </c>
      <c r="L72" s="12">
        <v>117.91936326113637</v>
      </c>
      <c r="M72" s="12">
        <v>13.367212637300286</v>
      </c>
      <c r="N72" s="12">
        <v>22.226802484287507</v>
      </c>
      <c r="O72" s="13">
        <v>1373.3056354772084</v>
      </c>
      <c r="P72" s="10" t="s">
        <v>190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-854.7470284937084</v>
      </c>
      <c r="V72" s="11">
        <v>-2.6394832848567638</v>
      </c>
      <c r="W72" s="12">
        <v>-14.733467034975225</v>
      </c>
      <c r="X72" s="12">
        <v>-3.1528982557203462</v>
      </c>
      <c r="Y72" s="13">
        <v>-62.41693992886217</v>
      </c>
      <c r="Z72" s="10" t="s">
        <v>190</v>
      </c>
      <c r="AA72" s="28" t="s">
        <v>3</v>
      </c>
      <c r="AB72" s="17">
        <v>189472.88207519628</v>
      </c>
      <c r="AC72" s="18">
        <v>111084.33626814323</v>
      </c>
      <c r="AD72" s="18">
        <v>94159.021611170858</v>
      </c>
      <c r="AE72" s="19">
        <v>10140.718009198097</v>
      </c>
      <c r="AF72" s="145">
        <f t="shared" si="2"/>
        <v>204.57894309617089</v>
      </c>
      <c r="AG72" s="146">
        <f t="shared" si="3"/>
        <v>1395.5324379614958</v>
      </c>
    </row>
    <row r="73" spans="1:34">
      <c r="A73" s="37">
        <v>5</v>
      </c>
      <c r="B73" s="38">
        <v>2027</v>
      </c>
      <c r="C73" s="31" t="s">
        <v>190</v>
      </c>
      <c r="D73" s="28" t="s">
        <v>4</v>
      </c>
      <c r="E73" s="11">
        <v>55.411705725400829</v>
      </c>
      <c r="F73" s="12">
        <v>136.24519817725957</v>
      </c>
      <c r="G73" s="12">
        <v>13.904866169559588</v>
      </c>
      <c r="H73" s="13">
        <v>1646.1975355009026</v>
      </c>
      <c r="I73" s="10" t="s">
        <v>190</v>
      </c>
      <c r="J73" s="28" t="s">
        <v>4</v>
      </c>
      <c r="K73" s="11">
        <v>29.331331471630246</v>
      </c>
      <c r="L73" s="12">
        <v>88.183601794112164</v>
      </c>
      <c r="M73" s="12">
        <v>11.816596307890896</v>
      </c>
      <c r="N73" s="12">
        <v>32.672008340738827</v>
      </c>
      <c r="O73" s="13">
        <v>1601.3444305121629</v>
      </c>
      <c r="P73" s="10" t="s">
        <v>190</v>
      </c>
      <c r="Q73" s="28" t="s">
        <v>4</v>
      </c>
      <c r="R73" s="17">
        <v>1E-3</v>
      </c>
      <c r="S73" s="18">
        <v>1E-3</v>
      </c>
      <c r="T73" s="18">
        <v>1E-3</v>
      </c>
      <c r="U73" s="18">
        <v>-50.235843280861481</v>
      </c>
      <c r="V73" s="11">
        <v>26.081374253770552</v>
      </c>
      <c r="W73" s="12">
        <v>48.062596383147479</v>
      </c>
      <c r="X73" s="12">
        <v>2.0892698616686913</v>
      </c>
      <c r="Y73" s="13">
        <v>62.418939928862166</v>
      </c>
      <c r="Z73" s="10" t="s">
        <v>190</v>
      </c>
      <c r="AA73" s="28" t="s">
        <v>4</v>
      </c>
      <c r="AB73" s="17">
        <v>188338.81013839954</v>
      </c>
      <c r="AC73" s="18">
        <v>107511.9856672458</v>
      </c>
      <c r="AD73" s="18">
        <v>92608.824059219332</v>
      </c>
      <c r="AE73" s="19">
        <v>9634.1707379695054</v>
      </c>
      <c r="AF73" s="145">
        <f t="shared" si="2"/>
        <v>129.3315295736333</v>
      </c>
      <c r="AG73" s="146">
        <f t="shared" si="3"/>
        <v>1634.0164388529017</v>
      </c>
    </row>
    <row r="74" spans="1:34">
      <c r="A74" s="37">
        <v>6</v>
      </c>
      <c r="B74" s="38">
        <v>2027</v>
      </c>
      <c r="C74" s="31" t="s">
        <v>190</v>
      </c>
      <c r="D74" s="28" t="s">
        <v>5</v>
      </c>
      <c r="E74" s="11">
        <v>6.9450567121147024</v>
      </c>
      <c r="F74" s="12">
        <v>418.27155086077971</v>
      </c>
      <c r="G74" s="12">
        <v>53.833225476165524</v>
      </c>
      <c r="H74" s="13">
        <v>599.54156339007818</v>
      </c>
      <c r="I74" s="10" t="s">
        <v>190</v>
      </c>
      <c r="J74" s="28" t="s">
        <v>5</v>
      </c>
      <c r="K74" s="11">
        <v>30.855047610164597</v>
      </c>
      <c r="L74" s="12">
        <v>296.25218687310314</v>
      </c>
      <c r="M74" s="12">
        <v>43.557762705616973</v>
      </c>
      <c r="N74" s="12">
        <v>55.44786523878998</v>
      </c>
      <c r="O74" s="13">
        <v>4102.9611629275478</v>
      </c>
      <c r="P74" s="10" t="s">
        <v>190</v>
      </c>
      <c r="Q74" s="28" t="s">
        <v>5</v>
      </c>
      <c r="R74" s="17">
        <v>1E-3</v>
      </c>
      <c r="S74" s="18">
        <v>1E-3</v>
      </c>
      <c r="T74" s="18">
        <v>1E-3</v>
      </c>
      <c r="U74" s="18">
        <v>-3558.8664647762589</v>
      </c>
      <c r="V74" s="11">
        <v>-23.908990898049794</v>
      </c>
      <c r="W74" s="12">
        <v>122.02036398767646</v>
      </c>
      <c r="X74" s="12">
        <v>10.276462770548555</v>
      </c>
      <c r="Y74" s="13">
        <v>1E-3</v>
      </c>
      <c r="Z74" s="10" t="s">
        <v>190</v>
      </c>
      <c r="AA74" s="28" t="s">
        <v>5</v>
      </c>
      <c r="AB74" s="17">
        <v>190010.68669987388</v>
      </c>
      <c r="AC74" s="18">
        <v>111613.31203127977</v>
      </c>
      <c r="AD74" s="18">
        <v>91518.11944372009</v>
      </c>
      <c r="AE74" s="19">
        <v>9279.8319701877899</v>
      </c>
      <c r="AF74" s="145">
        <f t="shared" si="2"/>
        <v>370.66499718888474</v>
      </c>
      <c r="AG74" s="146">
        <f t="shared" si="3"/>
        <v>4158.4090281663375</v>
      </c>
    </row>
    <row r="75" spans="1:34" ht="17" thickBot="1">
      <c r="A75" s="39">
        <v>7</v>
      </c>
      <c r="B75" s="54">
        <v>2027</v>
      </c>
      <c r="C75" s="32" t="s">
        <v>190</v>
      </c>
      <c r="D75" s="29" t="s">
        <v>6</v>
      </c>
      <c r="E75" s="21">
        <v>184.99658005370915</v>
      </c>
      <c r="F75" s="22">
        <v>165.09221911505608</v>
      </c>
      <c r="G75" s="22">
        <v>18.599897856337563</v>
      </c>
      <c r="H75" s="23">
        <v>258.07574876231985</v>
      </c>
      <c r="I75" s="20" t="s">
        <v>190</v>
      </c>
      <c r="J75" s="29" t="s">
        <v>6</v>
      </c>
      <c r="K75" s="21">
        <v>199.80841731307581</v>
      </c>
      <c r="L75" s="22">
        <v>173.92967944897481</v>
      </c>
      <c r="M75" s="22">
        <v>20.017255865002543</v>
      </c>
      <c r="N75" s="22">
        <v>37.14426204522109</v>
      </c>
      <c r="O75" s="23">
        <v>2584.4347636994216</v>
      </c>
      <c r="P75" s="20" t="s">
        <v>190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-2363.5022769823227</v>
      </c>
      <c r="V75" s="21">
        <v>-14.810837259366654</v>
      </c>
      <c r="W75" s="22">
        <v>-8.8364603339187244</v>
      </c>
      <c r="X75" s="22">
        <v>-1.4163580086649743</v>
      </c>
      <c r="Y75" s="23">
        <v>1E-3</v>
      </c>
      <c r="Z75" s="20" t="s">
        <v>190</v>
      </c>
      <c r="AA75" s="29" t="s">
        <v>6</v>
      </c>
      <c r="AB75" s="24">
        <v>189817.64156929997</v>
      </c>
      <c r="AC75" s="25">
        <v>110382.97570632267</v>
      </c>
      <c r="AD75" s="25">
        <v>91919.293101252188</v>
      </c>
      <c r="AE75" s="26">
        <v>9273.3357960967314</v>
      </c>
      <c r="AF75" s="147">
        <f t="shared" si="2"/>
        <v>393.75535262705318</v>
      </c>
      <c r="AG75" s="148">
        <f t="shared" si="3"/>
        <v>2621.5790257446429</v>
      </c>
    </row>
    <row r="76" spans="1:34">
      <c r="A76" s="35">
        <v>1</v>
      </c>
      <c r="B76" s="36">
        <v>2028</v>
      </c>
      <c r="C76" s="33" t="s">
        <v>191</v>
      </c>
      <c r="D76" s="27" t="s">
        <v>0</v>
      </c>
      <c r="E76" s="7">
        <v>300.79074559549463</v>
      </c>
      <c r="F76" s="8">
        <v>148.26466536827235</v>
      </c>
      <c r="G76" s="8">
        <v>18.989550976731973</v>
      </c>
      <c r="H76" s="9">
        <v>2469.8755862155244</v>
      </c>
      <c r="I76" s="6" t="s">
        <v>191</v>
      </c>
      <c r="J76" s="27" t="s">
        <v>0</v>
      </c>
      <c r="K76" s="7">
        <v>206.97415860835989</v>
      </c>
      <c r="L76" s="8">
        <v>127.11411617677351</v>
      </c>
      <c r="M76" s="8">
        <v>18.419302999092675</v>
      </c>
      <c r="N76" s="8">
        <v>60.54802153570872</v>
      </c>
      <c r="O76" s="9">
        <v>3086.8617243575363</v>
      </c>
      <c r="P76" s="6" t="s">
        <v>191</v>
      </c>
      <c r="Q76" s="27" t="s">
        <v>0</v>
      </c>
      <c r="R76" s="14">
        <v>1E-3</v>
      </c>
      <c r="S76" s="15">
        <v>1E-3</v>
      </c>
      <c r="T76" s="15">
        <v>1E-3</v>
      </c>
      <c r="U76" s="15">
        <v>-677.53315967772062</v>
      </c>
      <c r="V76" s="7">
        <v>93.817586987134803</v>
      </c>
      <c r="W76" s="8">
        <v>21.151549191498876</v>
      </c>
      <c r="X76" s="8">
        <v>0.57124797763929624</v>
      </c>
      <c r="Y76" s="9">
        <v>1E-3</v>
      </c>
      <c r="Z76" s="6" t="s">
        <v>191</v>
      </c>
      <c r="AA76" s="27" t="s">
        <v>0</v>
      </c>
      <c r="AB76" s="14">
        <v>191738.31100703159</v>
      </c>
      <c r="AC76" s="15">
        <v>109491.61737361114</v>
      </c>
      <c r="AD76" s="15">
        <v>89074.838235216695</v>
      </c>
      <c r="AE76" s="16">
        <v>10066.170499116921</v>
      </c>
      <c r="AF76" s="143">
        <f t="shared" si="2"/>
        <v>352.5075777842261</v>
      </c>
      <c r="AG76" s="144">
        <f t="shared" si="3"/>
        <v>3147.4097458932451</v>
      </c>
      <c r="AH76" s="369"/>
    </row>
    <row r="77" spans="1:34">
      <c r="A77" s="37">
        <v>2</v>
      </c>
      <c r="B77" s="38">
        <v>2028</v>
      </c>
      <c r="C77" s="31" t="s">
        <v>191</v>
      </c>
      <c r="D77" s="28" t="s">
        <v>1</v>
      </c>
      <c r="E77" s="11">
        <v>16.390815938677562</v>
      </c>
      <c r="F77" s="12">
        <v>571.48765276766983</v>
      </c>
      <c r="G77" s="12">
        <v>74.914044300542486</v>
      </c>
      <c r="H77" s="13">
        <v>521.5916132913992</v>
      </c>
      <c r="I77" s="10" t="s">
        <v>191</v>
      </c>
      <c r="J77" s="28" t="s">
        <v>1</v>
      </c>
      <c r="K77" s="11">
        <v>94.165369345070744</v>
      </c>
      <c r="L77" s="12">
        <v>728.89003502588162</v>
      </c>
      <c r="M77" s="12">
        <v>79.626178756079995</v>
      </c>
      <c r="N77" s="12">
        <v>48.495294898345286</v>
      </c>
      <c r="O77" s="13">
        <v>5561.9941187133936</v>
      </c>
      <c r="P77" s="10" t="s">
        <v>191</v>
      </c>
      <c r="Q77" s="28" t="s">
        <v>1</v>
      </c>
      <c r="R77" s="17">
        <v>1E-3</v>
      </c>
      <c r="S77" s="18">
        <v>1E-3</v>
      </c>
      <c r="T77" s="18">
        <v>1E-3</v>
      </c>
      <c r="U77" s="18">
        <v>-5088.8968003203408</v>
      </c>
      <c r="V77" s="11">
        <v>-77.773553406393177</v>
      </c>
      <c r="W77" s="12">
        <v>-157.40138225821175</v>
      </c>
      <c r="X77" s="12">
        <v>-4.7111344555375325</v>
      </c>
      <c r="Y77" s="13">
        <v>1E-3</v>
      </c>
      <c r="Z77" s="10" t="s">
        <v>191</v>
      </c>
      <c r="AA77" s="28" t="s">
        <v>1</v>
      </c>
      <c r="AB77" s="17">
        <v>193376.3513068278</v>
      </c>
      <c r="AC77" s="18">
        <v>109332.1295343471</v>
      </c>
      <c r="AD77" s="18">
        <v>90351.128235216689</v>
      </c>
      <c r="AE77" s="19">
        <v>9702.9915401765775</v>
      </c>
      <c r="AF77" s="145">
        <f t="shared" si="2"/>
        <v>902.68158312703235</v>
      </c>
      <c r="AG77" s="146">
        <f t="shared" si="3"/>
        <v>5610.4894136117391</v>
      </c>
    </row>
    <row r="78" spans="1:34">
      <c r="A78" s="37">
        <v>3</v>
      </c>
      <c r="B78" s="38">
        <v>2028</v>
      </c>
      <c r="C78" s="31" t="s">
        <v>191</v>
      </c>
      <c r="D78" s="28" t="s">
        <v>2</v>
      </c>
      <c r="E78" s="11">
        <v>113.51049039978881</v>
      </c>
      <c r="F78" s="12">
        <v>158.33465276575691</v>
      </c>
      <c r="G78" s="12">
        <v>14.250180374887011</v>
      </c>
      <c r="H78" s="13">
        <v>667.59626339045292</v>
      </c>
      <c r="I78" s="10" t="s">
        <v>191</v>
      </c>
      <c r="J78" s="28" t="s">
        <v>2</v>
      </c>
      <c r="K78" s="11">
        <v>114.94421221410744</v>
      </c>
      <c r="L78" s="12">
        <v>185.31489920397826</v>
      </c>
      <c r="M78" s="12">
        <v>18.662380165480489</v>
      </c>
      <c r="N78" s="12">
        <v>55.973468029136264</v>
      </c>
      <c r="O78" s="13">
        <v>2075.5002613854067</v>
      </c>
      <c r="P78" s="10" t="s">
        <v>191</v>
      </c>
      <c r="Q78" s="28" t="s">
        <v>2</v>
      </c>
      <c r="R78" s="17">
        <v>1E-3</v>
      </c>
      <c r="S78" s="18">
        <v>1E-3</v>
      </c>
      <c r="T78" s="18">
        <v>1E-3</v>
      </c>
      <c r="U78" s="18">
        <v>-1463.8764660240904</v>
      </c>
      <c r="V78" s="11">
        <v>-1.4327218143186771</v>
      </c>
      <c r="W78" s="12">
        <v>-26.97924643822132</v>
      </c>
      <c r="X78" s="12">
        <v>-4.4111997905934803</v>
      </c>
      <c r="Y78" s="13">
        <v>1E-3</v>
      </c>
      <c r="Z78" s="10" t="s">
        <v>191</v>
      </c>
      <c r="AA78" s="28" t="s">
        <v>2</v>
      </c>
      <c r="AB78" s="17">
        <v>198651.61564993762</v>
      </c>
      <c r="AC78" s="18">
        <v>109473.7176427278</v>
      </c>
      <c r="AD78" s="18">
        <v>91694.108235216656</v>
      </c>
      <c r="AE78" s="19">
        <v>10097.797768127195</v>
      </c>
      <c r="AF78" s="145">
        <f t="shared" si="2"/>
        <v>318.92149158356619</v>
      </c>
      <c r="AG78" s="146">
        <f t="shared" si="3"/>
        <v>2131.473729414543</v>
      </c>
    </row>
    <row r="79" spans="1:34">
      <c r="A79" s="37">
        <v>4</v>
      </c>
      <c r="B79" s="38">
        <v>2028</v>
      </c>
      <c r="C79" s="31" t="s">
        <v>191</v>
      </c>
      <c r="D79" s="28" t="s">
        <v>3</v>
      </c>
      <c r="E79" s="11">
        <v>72.876727309541096</v>
      </c>
      <c r="F79" s="12">
        <v>112.34426468001034</v>
      </c>
      <c r="G79" s="12">
        <v>11.496835710850689</v>
      </c>
      <c r="H79" s="13">
        <v>511.48282683976674</v>
      </c>
      <c r="I79" s="10" t="s">
        <v>191</v>
      </c>
      <c r="J79" s="28" t="s">
        <v>3</v>
      </c>
      <c r="K79" s="11">
        <v>75.184593371703883</v>
      </c>
      <c r="L79" s="12">
        <v>128.26801871370157</v>
      </c>
      <c r="M79" s="12">
        <v>15.01760738819047</v>
      </c>
      <c r="N79" s="12">
        <v>21.850522389636378</v>
      </c>
      <c r="O79" s="13">
        <v>1457.450563450976</v>
      </c>
      <c r="P79" s="10" t="s">
        <v>191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-886.47848911161623</v>
      </c>
      <c r="V79" s="11">
        <v>-2.306866062162749</v>
      </c>
      <c r="W79" s="12">
        <v>-15.922754033691282</v>
      </c>
      <c r="X79" s="12">
        <v>-3.5197716773397771</v>
      </c>
      <c r="Y79" s="13">
        <v>-81.337769889229193</v>
      </c>
      <c r="Z79" s="10" t="s">
        <v>191</v>
      </c>
      <c r="AA79" s="28" t="s">
        <v>3</v>
      </c>
      <c r="AB79" s="17">
        <v>198796.13511848811</v>
      </c>
      <c r="AC79" s="18">
        <v>109018.22099864343</v>
      </c>
      <c r="AD79" s="18">
        <v>90907.034783963871</v>
      </c>
      <c r="AE79" s="19">
        <v>10439.03476607962</v>
      </c>
      <c r="AF79" s="145">
        <f t="shared" si="2"/>
        <v>218.47021947359593</v>
      </c>
      <c r="AG79" s="146">
        <f t="shared" si="3"/>
        <v>1479.3010858406124</v>
      </c>
    </row>
    <row r="80" spans="1:34">
      <c r="A80" s="37">
        <v>5</v>
      </c>
      <c r="B80" s="38">
        <v>2028</v>
      </c>
      <c r="C80" s="31" t="s">
        <v>191</v>
      </c>
      <c r="D80" s="28" t="s">
        <v>4</v>
      </c>
      <c r="E80" s="11">
        <v>57.168359217110172</v>
      </c>
      <c r="F80" s="12">
        <v>148.40606407706983</v>
      </c>
      <c r="G80" s="12">
        <v>15.644303896086436</v>
      </c>
      <c r="H80" s="13">
        <v>1761.7886659706348</v>
      </c>
      <c r="I80" s="10" t="s">
        <v>191</v>
      </c>
      <c r="J80" s="28" t="s">
        <v>4</v>
      </c>
      <c r="K80" s="11">
        <v>29.736803415169692</v>
      </c>
      <c r="L80" s="12">
        <v>95.805437628239304</v>
      </c>
      <c r="M80" s="12">
        <v>13.40393607962001</v>
      </c>
      <c r="N80" s="12">
        <v>32.816596999662259</v>
      </c>
      <c r="O80" s="13">
        <v>1707.767504539971</v>
      </c>
      <c r="P80" s="10" t="s">
        <v>191</v>
      </c>
      <c r="Q80" s="28" t="s">
        <v>4</v>
      </c>
      <c r="R80" s="17">
        <v>1E-3</v>
      </c>
      <c r="S80" s="18">
        <v>1E-3</v>
      </c>
      <c r="T80" s="18">
        <v>1E-3</v>
      </c>
      <c r="U80" s="18">
        <v>-60.133205458228332</v>
      </c>
      <c r="V80" s="11">
        <v>27.432555801940303</v>
      </c>
      <c r="W80" s="12">
        <v>52.601626448830835</v>
      </c>
      <c r="X80" s="12">
        <v>2.2413678164664255</v>
      </c>
      <c r="Y80" s="13">
        <v>81.339769889229203</v>
      </c>
      <c r="Z80" s="10" t="s">
        <v>191</v>
      </c>
      <c r="AA80" s="28" t="s">
        <v>4</v>
      </c>
      <c r="AB80" s="17">
        <v>197704.08359590269</v>
      </c>
      <c r="AC80" s="18">
        <v>105614.39486063368</v>
      </c>
      <c r="AD80" s="18">
        <v>89355.802346213895</v>
      </c>
      <c r="AE80" s="19">
        <v>9932.7680705743387</v>
      </c>
      <c r="AF80" s="145">
        <f t="shared" si="2"/>
        <v>138.946177123029</v>
      </c>
      <c r="AG80" s="146">
        <f t="shared" si="3"/>
        <v>1740.5841015396334</v>
      </c>
    </row>
    <row r="81" spans="1:34">
      <c r="A81" s="37">
        <v>6</v>
      </c>
      <c r="B81" s="38">
        <v>2028</v>
      </c>
      <c r="C81" s="31" t="s">
        <v>191</v>
      </c>
      <c r="D81" s="28" t="s">
        <v>5</v>
      </c>
      <c r="E81" s="11">
        <v>7.1583846793386687</v>
      </c>
      <c r="F81" s="12">
        <v>455.21579496039988</v>
      </c>
      <c r="G81" s="12">
        <v>60.555937495047651</v>
      </c>
      <c r="H81" s="13">
        <v>642.21656265841352</v>
      </c>
      <c r="I81" s="10" t="s">
        <v>191</v>
      </c>
      <c r="J81" s="28" t="s">
        <v>5</v>
      </c>
      <c r="K81" s="11">
        <v>30.591647499980446</v>
      </c>
      <c r="L81" s="12">
        <v>318.20083748075115</v>
      </c>
      <c r="M81" s="12">
        <v>48.38576269272199</v>
      </c>
      <c r="N81" s="12">
        <v>56.499955975807552</v>
      </c>
      <c r="O81" s="13">
        <v>4432.7569232115975</v>
      </c>
      <c r="P81" s="10" t="s">
        <v>191</v>
      </c>
      <c r="Q81" s="28" t="s">
        <v>5</v>
      </c>
      <c r="R81" s="17">
        <v>1E-3</v>
      </c>
      <c r="S81" s="18">
        <v>1E-3</v>
      </c>
      <c r="T81" s="18">
        <v>0.98193992833018962</v>
      </c>
      <c r="U81" s="18">
        <v>-3847.0393165289915</v>
      </c>
      <c r="V81" s="11">
        <v>-23.43226282064176</v>
      </c>
      <c r="W81" s="12">
        <v>137.01595747964862</v>
      </c>
      <c r="X81" s="12">
        <v>11.190234873995466</v>
      </c>
      <c r="Y81" s="13">
        <v>1E-3</v>
      </c>
      <c r="Z81" s="10" t="s">
        <v>191</v>
      </c>
      <c r="AA81" s="28" t="s">
        <v>5</v>
      </c>
      <c r="AB81" s="17">
        <v>199405.03691351227</v>
      </c>
      <c r="AC81" s="18">
        <v>109532.01680444904</v>
      </c>
      <c r="AD81" s="18">
        <v>88284.367452216684</v>
      </c>
      <c r="AE81" s="19">
        <v>9578.054221682507</v>
      </c>
      <c r="AF81" s="145">
        <f t="shared" si="2"/>
        <v>397.1782476734536</v>
      </c>
      <c r="AG81" s="146">
        <f t="shared" si="3"/>
        <v>4489.2568791874055</v>
      </c>
    </row>
    <row r="82" spans="1:34" ht="17" thickBot="1">
      <c r="A82" s="39">
        <v>7</v>
      </c>
      <c r="B82" s="54">
        <v>2028</v>
      </c>
      <c r="C82" s="32" t="s">
        <v>191</v>
      </c>
      <c r="D82" s="29" t="s">
        <v>6</v>
      </c>
      <c r="E82" s="21">
        <v>190.66676303174762</v>
      </c>
      <c r="F82" s="22">
        <v>179.68975878890643</v>
      </c>
      <c r="G82" s="22">
        <v>20.925290239433313</v>
      </c>
      <c r="H82" s="23">
        <v>276.55982358046123</v>
      </c>
      <c r="I82" s="20" t="s">
        <v>191</v>
      </c>
      <c r="J82" s="29" t="s">
        <v>6</v>
      </c>
      <c r="K82" s="21">
        <v>206.96550171730632</v>
      </c>
      <c r="L82" s="22">
        <v>190.14950917876041</v>
      </c>
      <c r="M82" s="22">
        <v>22.280034984063708</v>
      </c>
      <c r="N82" s="22">
        <v>38.247582894179423</v>
      </c>
      <c r="O82" s="23">
        <v>2726.5523006488038</v>
      </c>
      <c r="P82" s="20" t="s">
        <v>191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-2488.2390599625214</v>
      </c>
      <c r="V82" s="21">
        <v>-16.297738685558727</v>
      </c>
      <c r="W82" s="22">
        <v>-10.458750389853956</v>
      </c>
      <c r="X82" s="22">
        <v>-1.3537447446303985</v>
      </c>
      <c r="Y82" s="23">
        <v>1E-3</v>
      </c>
      <c r="Z82" s="20" t="s">
        <v>191</v>
      </c>
      <c r="AA82" s="29" t="s">
        <v>6</v>
      </c>
      <c r="AB82" s="24">
        <v>199117.78559396087</v>
      </c>
      <c r="AC82" s="25">
        <v>108288.24697708208</v>
      </c>
      <c r="AD82" s="25">
        <v>88705.711299216709</v>
      </c>
      <c r="AE82" s="26">
        <v>9571.6280103917779</v>
      </c>
      <c r="AF82" s="147">
        <f t="shared" si="2"/>
        <v>419.39504588013045</v>
      </c>
      <c r="AG82" s="148">
        <f t="shared" si="3"/>
        <v>2764.799883542983</v>
      </c>
    </row>
    <row r="83" spans="1:34">
      <c r="A83" s="35">
        <v>1</v>
      </c>
      <c r="B83" s="36">
        <v>2029</v>
      </c>
      <c r="C83" s="33" t="s">
        <v>192</v>
      </c>
      <c r="D83" s="27" t="s">
        <v>0</v>
      </c>
      <c r="E83" s="7">
        <v>309.36440860007554</v>
      </c>
      <c r="F83" s="8">
        <v>162.28661913307991</v>
      </c>
      <c r="G83" s="8">
        <v>22.373276762061398</v>
      </c>
      <c r="H83" s="9">
        <v>2652.8115699618506</v>
      </c>
      <c r="I83" s="6" t="s">
        <v>192</v>
      </c>
      <c r="J83" s="27" t="s">
        <v>0</v>
      </c>
      <c r="K83" s="7">
        <v>212.97208515084219</v>
      </c>
      <c r="L83" s="8">
        <v>138.77649280376653</v>
      </c>
      <c r="M83" s="8">
        <v>19.94320224924175</v>
      </c>
      <c r="N83" s="8">
        <v>61.12274231857846</v>
      </c>
      <c r="O83" s="9">
        <v>3257.7805892623364</v>
      </c>
      <c r="P83" s="6" t="s">
        <v>192</v>
      </c>
      <c r="Q83" s="27" t="s">
        <v>0</v>
      </c>
      <c r="R83" s="14">
        <v>1E-3</v>
      </c>
      <c r="S83" s="15">
        <v>1E-3</v>
      </c>
      <c r="T83" s="15">
        <v>1E-3</v>
      </c>
      <c r="U83" s="15">
        <v>-666.09076161906478</v>
      </c>
      <c r="V83" s="7">
        <v>96.393323449233336</v>
      </c>
      <c r="W83" s="8">
        <v>23.511126329313377</v>
      </c>
      <c r="X83" s="8">
        <v>2.4310745128196336</v>
      </c>
      <c r="Y83" s="9">
        <v>1E-3</v>
      </c>
      <c r="Z83" s="6" t="s">
        <v>192</v>
      </c>
      <c r="AA83" s="27" t="s">
        <v>0</v>
      </c>
      <c r="AB83" s="14">
        <v>200739.49771721056</v>
      </c>
      <c r="AC83" s="15">
        <v>107059.71550798501</v>
      </c>
      <c r="AD83" s="15">
        <v>89441.07911085464</v>
      </c>
      <c r="AE83" s="16">
        <v>10375.384680616462</v>
      </c>
      <c r="AF83" s="143">
        <f>SUM(K83:M83)</f>
        <v>371.6917802038505</v>
      </c>
      <c r="AG83" s="144">
        <f t="shared" si="3"/>
        <v>3318.9033315809147</v>
      </c>
      <c r="AH83" s="369"/>
    </row>
    <row r="84" spans="1:34">
      <c r="A84" s="37">
        <v>2</v>
      </c>
      <c r="B84" s="38">
        <v>2029</v>
      </c>
      <c r="C84" s="31" t="s">
        <v>192</v>
      </c>
      <c r="D84" s="28" t="s">
        <v>1</v>
      </c>
      <c r="E84" s="11">
        <v>16.909717053303499</v>
      </c>
      <c r="F84" s="12">
        <v>625.87535283725811</v>
      </c>
      <c r="G84" s="12">
        <v>88.25242217537955</v>
      </c>
      <c r="H84" s="13">
        <v>560.63244597059725</v>
      </c>
      <c r="I84" s="10" t="s">
        <v>192</v>
      </c>
      <c r="J84" s="28" t="s">
        <v>1</v>
      </c>
      <c r="K84" s="11">
        <v>96.744507435592155</v>
      </c>
      <c r="L84" s="12">
        <v>797.49000520716402</v>
      </c>
      <c r="M84" s="12">
        <v>86.835391792381586</v>
      </c>
      <c r="N84" s="12">
        <v>50.260215394249158</v>
      </c>
      <c r="O84" s="13">
        <v>6113.712991757443</v>
      </c>
      <c r="P84" s="10" t="s">
        <v>192</v>
      </c>
      <c r="Q84" s="28" t="s">
        <v>1</v>
      </c>
      <c r="R84" s="17">
        <v>1E-3</v>
      </c>
      <c r="S84" s="18">
        <v>1E-3</v>
      </c>
      <c r="T84" s="18">
        <v>1E-3</v>
      </c>
      <c r="U84" s="18">
        <v>-5603.3397611810951</v>
      </c>
      <c r="V84" s="11">
        <v>-79.833790382288669</v>
      </c>
      <c r="W84" s="12">
        <v>-171.61365236990599</v>
      </c>
      <c r="X84" s="12">
        <v>1.4180303829979857</v>
      </c>
      <c r="Y84" s="13">
        <v>1E-3</v>
      </c>
      <c r="Z84" s="10" t="s">
        <v>192</v>
      </c>
      <c r="AA84" s="28" t="s">
        <v>1</v>
      </c>
      <c r="AB84" s="17">
        <v>202444.66119714896</v>
      </c>
      <c r="AC84" s="18">
        <v>107008.84650807414</v>
      </c>
      <c r="AD84" s="18">
        <v>90717.549284343302</v>
      </c>
      <c r="AE84" s="19">
        <v>10012.274836182163</v>
      </c>
      <c r="AF84" s="145">
        <f t="shared" si="2"/>
        <v>981.06990443513769</v>
      </c>
      <c r="AG84" s="146">
        <f t="shared" si="3"/>
        <v>6163.9732071516919</v>
      </c>
    </row>
    <row r="85" spans="1:34">
      <c r="A85" s="37">
        <v>3</v>
      </c>
      <c r="B85" s="38">
        <v>2029</v>
      </c>
      <c r="C85" s="31" t="s">
        <v>192</v>
      </c>
      <c r="D85" s="28" t="s">
        <v>2</v>
      </c>
      <c r="E85" s="11">
        <v>117.08428961783672</v>
      </c>
      <c r="F85" s="12">
        <v>173.47070842637493</v>
      </c>
      <c r="G85" s="12">
        <v>16.787728173541698</v>
      </c>
      <c r="H85" s="13">
        <v>717.08454473884296</v>
      </c>
      <c r="I85" s="10" t="s">
        <v>192</v>
      </c>
      <c r="J85" s="28" t="s">
        <v>2</v>
      </c>
      <c r="K85" s="11">
        <v>119.88855623366058</v>
      </c>
      <c r="L85" s="12">
        <v>207.84384697701273</v>
      </c>
      <c r="M85" s="12">
        <v>20.735707299781662</v>
      </c>
      <c r="N85" s="12">
        <v>56.884612332087372</v>
      </c>
      <c r="O85" s="13">
        <v>2225.9424903903578</v>
      </c>
      <c r="P85" s="10" t="s">
        <v>192</v>
      </c>
      <c r="Q85" s="28" t="s">
        <v>2</v>
      </c>
      <c r="R85" s="17">
        <v>1E-3</v>
      </c>
      <c r="S85" s="18">
        <v>1E-3</v>
      </c>
      <c r="T85" s="18">
        <v>1E-3</v>
      </c>
      <c r="U85" s="18">
        <v>-1565.741557983602</v>
      </c>
      <c r="V85" s="11">
        <v>-2.8032666158238864</v>
      </c>
      <c r="W85" s="12">
        <v>-34.372138550637587</v>
      </c>
      <c r="X85" s="12">
        <v>-3.9469791262399632</v>
      </c>
      <c r="Y85" s="13">
        <v>1E-3</v>
      </c>
      <c r="Z85" s="10" t="s">
        <v>192</v>
      </c>
      <c r="AA85" s="28" t="s">
        <v>2</v>
      </c>
      <c r="AB85" s="17">
        <v>208976.42877364546</v>
      </c>
      <c r="AC85" s="18">
        <v>107175.61581510919</v>
      </c>
      <c r="AD85" s="18">
        <v>92059.319127955358</v>
      </c>
      <c r="AE85" s="19">
        <v>10407.080335652699</v>
      </c>
      <c r="AF85" s="145">
        <f t="shared" si="2"/>
        <v>348.46811051045495</v>
      </c>
      <c r="AG85" s="146">
        <f t="shared" si="3"/>
        <v>2282.827102722445</v>
      </c>
    </row>
    <row r="86" spans="1:34">
      <c r="A86" s="37">
        <v>4</v>
      </c>
      <c r="B86" s="38">
        <v>2029</v>
      </c>
      <c r="C86" s="31" t="s">
        <v>192</v>
      </c>
      <c r="D86" s="28" t="s">
        <v>3</v>
      </c>
      <c r="E86" s="11">
        <v>75.196258085213913</v>
      </c>
      <c r="F86" s="12">
        <v>123.06510488799643</v>
      </c>
      <c r="G86" s="12">
        <v>13.365814524524119</v>
      </c>
      <c r="H86" s="13">
        <v>550.39464013017869</v>
      </c>
      <c r="I86" s="10" t="s">
        <v>192</v>
      </c>
      <c r="J86" s="28" t="s">
        <v>3</v>
      </c>
      <c r="K86" s="11">
        <v>77.114068418031735</v>
      </c>
      <c r="L86" s="12">
        <v>140.21679968620444</v>
      </c>
      <c r="M86" s="12">
        <v>16.575829089783891</v>
      </c>
      <c r="N86" s="12">
        <v>21.649644229778715</v>
      </c>
      <c r="O86" s="13">
        <v>1563.3468870498168</v>
      </c>
      <c r="P86" s="10" t="s">
        <v>192</v>
      </c>
      <c r="Q86" s="28" t="s">
        <v>3</v>
      </c>
      <c r="R86" s="17">
        <v>1E-3</v>
      </c>
      <c r="S86" s="18">
        <v>1E-3</v>
      </c>
      <c r="T86" s="18">
        <v>1E-3</v>
      </c>
      <c r="U86" s="18">
        <v>-934.19881746863962</v>
      </c>
      <c r="V86" s="11">
        <v>-1.9168103328178494</v>
      </c>
      <c r="W86" s="12">
        <v>-17.150694798207997</v>
      </c>
      <c r="X86" s="12">
        <v>-3.209014565259773</v>
      </c>
      <c r="Y86" s="13">
        <v>-100.4010736807772</v>
      </c>
      <c r="Z86" s="10" t="s">
        <v>192</v>
      </c>
      <c r="AA86" s="28" t="s">
        <v>3</v>
      </c>
      <c r="AB86" s="17">
        <v>209058.2539175523</v>
      </c>
      <c r="AC86" s="18">
        <v>106583.15810186928</v>
      </c>
      <c r="AD86" s="18">
        <v>89714.241019538691</v>
      </c>
      <c r="AE86" s="19">
        <v>10748.281201248948</v>
      </c>
      <c r="AF86" s="145">
        <f t="shared" si="2"/>
        <v>233.90669719402007</v>
      </c>
      <c r="AG86" s="146">
        <f t="shared" si="3"/>
        <v>1584.9965312795955</v>
      </c>
    </row>
    <row r="87" spans="1:34">
      <c r="A87" s="37">
        <v>5</v>
      </c>
      <c r="B87" s="38">
        <v>2029</v>
      </c>
      <c r="C87" s="31" t="s">
        <v>192</v>
      </c>
      <c r="D87" s="28" t="s">
        <v>4</v>
      </c>
      <c r="E87" s="11">
        <v>58.998992026591715</v>
      </c>
      <c r="F87" s="12">
        <v>162.60126588295273</v>
      </c>
      <c r="G87" s="12">
        <v>18.1835319642739</v>
      </c>
      <c r="H87" s="13">
        <v>1897.5968964314397</v>
      </c>
      <c r="I87" s="10" t="s">
        <v>192</v>
      </c>
      <c r="J87" s="28" t="s">
        <v>4</v>
      </c>
      <c r="K87" s="11">
        <v>30.145313434940547</v>
      </c>
      <c r="L87" s="12">
        <v>104.67191679847291</v>
      </c>
      <c r="M87" s="12">
        <v>14.938559282684285</v>
      </c>
      <c r="N87" s="12">
        <v>33.375565742176178</v>
      </c>
      <c r="O87" s="13">
        <v>1842.0544037906193</v>
      </c>
      <c r="P87" s="10" t="s">
        <v>192</v>
      </c>
      <c r="Q87" s="28" t="s">
        <v>4</v>
      </c>
      <c r="R87" s="17">
        <v>1E-3</v>
      </c>
      <c r="S87" s="18">
        <v>1E-3</v>
      </c>
      <c r="T87" s="18">
        <v>3.5958116329847301E-2</v>
      </c>
      <c r="U87" s="18">
        <v>-78.234146782132598</v>
      </c>
      <c r="V87" s="11">
        <v>28.854678591651208</v>
      </c>
      <c r="W87" s="12">
        <v>57.930349084479808</v>
      </c>
      <c r="X87" s="12">
        <v>3.2110145652597728</v>
      </c>
      <c r="Y87" s="13">
        <v>100.40307368077721</v>
      </c>
      <c r="Z87" s="10" t="s">
        <v>192</v>
      </c>
      <c r="AA87" s="28" t="s">
        <v>4</v>
      </c>
      <c r="AB87" s="17">
        <v>208007.55224727764</v>
      </c>
      <c r="AC87" s="18">
        <v>103327.76816931416</v>
      </c>
      <c r="AD87" s="18">
        <v>88160.757079521325</v>
      </c>
      <c r="AE87" s="19">
        <v>10242.196263215968</v>
      </c>
      <c r="AF87" s="145">
        <f t="shared" si="2"/>
        <v>149.75578951609774</v>
      </c>
      <c r="AG87" s="146">
        <f t="shared" si="3"/>
        <v>1875.4299695327954</v>
      </c>
    </row>
    <row r="88" spans="1:34">
      <c r="A88" s="37">
        <v>6</v>
      </c>
      <c r="B88" s="38">
        <v>2029</v>
      </c>
      <c r="C88" s="31" t="s">
        <v>192</v>
      </c>
      <c r="D88" s="28" t="s">
        <v>5</v>
      </c>
      <c r="E88" s="11">
        <v>7.3807811893543516</v>
      </c>
      <c r="F88" s="12">
        <v>498.14111781197187</v>
      </c>
      <c r="G88" s="12">
        <v>71.364412866437419</v>
      </c>
      <c r="H88" s="13">
        <v>692.79055692727513</v>
      </c>
      <c r="I88" s="10" t="s">
        <v>192</v>
      </c>
      <c r="J88" s="28" t="s">
        <v>5</v>
      </c>
      <c r="K88" s="11">
        <v>30.328180763670009</v>
      </c>
      <c r="L88" s="12">
        <v>343.92006010106081</v>
      </c>
      <c r="M88" s="12">
        <v>51.92875319064067</v>
      </c>
      <c r="N88" s="12">
        <v>58.821535537845072</v>
      </c>
      <c r="O88" s="13">
        <v>4870.1432746333257</v>
      </c>
      <c r="P88" s="10" t="s">
        <v>192</v>
      </c>
      <c r="Q88" s="28" t="s">
        <v>5</v>
      </c>
      <c r="R88" s="17">
        <v>1E-3</v>
      </c>
      <c r="S88" s="18">
        <v>1E-3</v>
      </c>
      <c r="T88" s="18">
        <v>19.07233080956539</v>
      </c>
      <c r="U88" s="18">
        <v>-4236.1732532438964</v>
      </c>
      <c r="V88" s="11">
        <v>-22.946399574315659</v>
      </c>
      <c r="W88" s="12">
        <v>154.22205771091089</v>
      </c>
      <c r="X88" s="12">
        <v>0.36532886623134675</v>
      </c>
      <c r="Y88" s="13">
        <v>1E-3</v>
      </c>
      <c r="Z88" s="10" t="s">
        <v>192</v>
      </c>
      <c r="AA88" s="28" t="s">
        <v>5</v>
      </c>
      <c r="AB88" s="17">
        <v>209740.59673905108</v>
      </c>
      <c r="AC88" s="18">
        <v>107083.82979981005</v>
      </c>
      <c r="AD88" s="18">
        <v>88657.255283200968</v>
      </c>
      <c r="AE88" s="19">
        <v>9887.1920814291916</v>
      </c>
      <c r="AF88" s="145">
        <f t="shared" si="2"/>
        <v>426.17699405537149</v>
      </c>
      <c r="AG88" s="146">
        <f t="shared" si="3"/>
        <v>4928.9648101711709</v>
      </c>
    </row>
    <row r="89" spans="1:34" ht="17" thickBot="1">
      <c r="A89" s="39">
        <v>7</v>
      </c>
      <c r="B89" s="54">
        <v>2029</v>
      </c>
      <c r="C89" s="32" t="s">
        <v>192</v>
      </c>
      <c r="D89" s="29" t="s">
        <v>6</v>
      </c>
      <c r="E89" s="21">
        <v>196.5813552619918</v>
      </c>
      <c r="F89" s="22">
        <v>196.68811366389698</v>
      </c>
      <c r="G89" s="22">
        <v>24.569785811268556</v>
      </c>
      <c r="H89" s="23">
        <v>298.33047463307639</v>
      </c>
      <c r="I89" s="20" t="s">
        <v>192</v>
      </c>
      <c r="J89" s="29" t="s">
        <v>6</v>
      </c>
      <c r="K89" s="21">
        <v>214.32309039763018</v>
      </c>
      <c r="L89" s="22">
        <v>209.20916106984942</v>
      </c>
      <c r="M89" s="22">
        <v>24.102343138410429</v>
      </c>
      <c r="N89" s="22">
        <v>39.432180618089156</v>
      </c>
      <c r="O89" s="23">
        <v>2910.0710532368912</v>
      </c>
      <c r="P89" s="20" t="s">
        <v>192</v>
      </c>
      <c r="Q89" s="29" t="s">
        <v>6</v>
      </c>
      <c r="R89" s="24">
        <v>1E-3</v>
      </c>
      <c r="S89" s="25">
        <v>1E-3</v>
      </c>
      <c r="T89" s="25">
        <v>0.73189730866712677</v>
      </c>
      <c r="U89" s="25">
        <v>-2651.1717592219034</v>
      </c>
      <c r="V89" s="21">
        <v>-17.740735135638456</v>
      </c>
      <c r="W89" s="22">
        <v>-12.52004740595248</v>
      </c>
      <c r="X89" s="22">
        <v>-0.26245463580900324</v>
      </c>
      <c r="Y89" s="23">
        <v>1E-3</v>
      </c>
      <c r="Z89" s="20" t="s">
        <v>192</v>
      </c>
      <c r="AA89" s="29" t="s">
        <v>6</v>
      </c>
      <c r="AB89" s="24">
        <v>209358.62190201695</v>
      </c>
      <c r="AC89" s="25">
        <v>105829.02805022162</v>
      </c>
      <c r="AD89" s="25">
        <v>88670.509358023744</v>
      </c>
      <c r="AE89" s="26">
        <v>9880.8607393541115</v>
      </c>
      <c r="AF89" s="147">
        <f t="shared" si="2"/>
        <v>447.63459460589002</v>
      </c>
      <c r="AG89" s="148">
        <f t="shared" si="3"/>
        <v>2949.5032338549804</v>
      </c>
    </row>
    <row r="90" spans="1:34">
      <c r="A90" s="35">
        <v>1</v>
      </c>
      <c r="B90" s="36">
        <v>2030</v>
      </c>
      <c r="C90" s="33" t="s">
        <v>211</v>
      </c>
      <c r="D90" s="27" t="s">
        <v>0</v>
      </c>
      <c r="E90" s="7">
        <v>318.13406151684148</v>
      </c>
      <c r="F90" s="8">
        <v>178.68089665663126</v>
      </c>
      <c r="G90" s="8">
        <v>26.274011119450378</v>
      </c>
      <c r="H90" s="9">
        <v>2859.1677586418086</v>
      </c>
      <c r="I90" s="6" t="s">
        <v>211</v>
      </c>
      <c r="J90" s="27" t="s">
        <v>0</v>
      </c>
      <c r="K90" s="7">
        <v>219.10843171029333</v>
      </c>
      <c r="L90" s="8">
        <v>152.15176177828383</v>
      </c>
      <c r="M90" s="8">
        <v>22.030134101355742</v>
      </c>
      <c r="N90" s="8">
        <v>60.459301665939577</v>
      </c>
      <c r="O90" s="9">
        <v>3433.0856145148828</v>
      </c>
      <c r="P90" s="6" t="s">
        <v>211</v>
      </c>
      <c r="Q90" s="27" t="s">
        <v>0</v>
      </c>
      <c r="R90" s="14">
        <v>1E-3</v>
      </c>
      <c r="S90" s="15">
        <v>1E-3</v>
      </c>
      <c r="T90" s="15">
        <v>4.2448770180946349</v>
      </c>
      <c r="U90" s="15">
        <v>-634.37615753901309</v>
      </c>
      <c r="V90" s="7">
        <v>99.026629806548115</v>
      </c>
      <c r="W90" s="8">
        <v>26.530134878347408</v>
      </c>
      <c r="X90" s="8">
        <v>1E-3</v>
      </c>
      <c r="Y90" s="9">
        <v>1E-3</v>
      </c>
      <c r="Z90" s="6" t="s">
        <v>211</v>
      </c>
      <c r="AA90" s="27" t="s">
        <v>0</v>
      </c>
      <c r="AB90" s="14">
        <v>209683.36437731993</v>
      </c>
      <c r="AC90" s="15">
        <v>103865.437135523</v>
      </c>
      <c r="AD90" s="15">
        <v>87704.773375962002</v>
      </c>
      <c r="AE90" s="16">
        <v>10695.952994858741</v>
      </c>
      <c r="AF90" s="143">
        <f>SUM(K90:M90)</f>
        <v>393.29032758993287</v>
      </c>
      <c r="AG90" s="144">
        <f t="shared" ref="AG90:AG96" si="4">SUM(N90:O90)</f>
        <v>3493.5449161808224</v>
      </c>
      <c r="AH90" s="369"/>
    </row>
    <row r="91" spans="1:34">
      <c r="A91" s="37">
        <v>2</v>
      </c>
      <c r="B91" s="38">
        <v>2030</v>
      </c>
      <c r="C91" s="31" t="s">
        <v>211</v>
      </c>
      <c r="D91" s="28" t="s">
        <v>1</v>
      </c>
      <c r="E91" s="11">
        <v>17.45971500769377</v>
      </c>
      <c r="F91" s="12">
        <v>689.60716627030661</v>
      </c>
      <c r="G91" s="12">
        <v>103.43539430919122</v>
      </c>
      <c r="H91" s="13">
        <v>604.55109756497791</v>
      </c>
      <c r="I91" s="10" t="s">
        <v>211</v>
      </c>
      <c r="J91" s="28" t="s">
        <v>1</v>
      </c>
      <c r="K91" s="11">
        <v>99.35905465038887</v>
      </c>
      <c r="L91" s="12">
        <v>875.82622421130668</v>
      </c>
      <c r="M91" s="12">
        <v>96.497341616787836</v>
      </c>
      <c r="N91" s="12">
        <v>52.607173361319632</v>
      </c>
      <c r="O91" s="13">
        <v>6717.6316999828978</v>
      </c>
      <c r="P91" s="10" t="s">
        <v>211</v>
      </c>
      <c r="Q91" s="28" t="s">
        <v>1</v>
      </c>
      <c r="R91" s="17">
        <v>1E-3</v>
      </c>
      <c r="S91" s="18">
        <v>1E-3</v>
      </c>
      <c r="T91" s="18">
        <v>3.0827516523935303</v>
      </c>
      <c r="U91" s="18">
        <v>-6165.6867757792397</v>
      </c>
      <c r="V91" s="11">
        <v>-81.898339642695106</v>
      </c>
      <c r="W91" s="12">
        <v>-186.21805794100061</v>
      </c>
      <c r="X91" s="12">
        <v>3.8573010400098799</v>
      </c>
      <c r="Y91" s="13">
        <v>1E-3</v>
      </c>
      <c r="Z91" s="10" t="s">
        <v>211</v>
      </c>
      <c r="AA91" s="28" t="s">
        <v>1</v>
      </c>
      <c r="AB91" s="17">
        <v>211464.43894256343</v>
      </c>
      <c r="AC91" s="18">
        <v>103939.74994448715</v>
      </c>
      <c r="AD91" s="18">
        <v>88740.223375962014</v>
      </c>
      <c r="AE91" s="19">
        <v>10332.901495878548</v>
      </c>
      <c r="AF91" s="145">
        <f t="shared" ref="AF91:AF96" si="5">SUM(K91:M91)</f>
        <v>1071.6826204784834</v>
      </c>
      <c r="AG91" s="146">
        <f t="shared" si="4"/>
        <v>6770.2388733442176</v>
      </c>
    </row>
    <row r="92" spans="1:34">
      <c r="A92" s="37">
        <v>3</v>
      </c>
      <c r="B92" s="38">
        <v>2030</v>
      </c>
      <c r="C92" s="31" t="s">
        <v>211</v>
      </c>
      <c r="D92" s="28" t="s">
        <v>2</v>
      </c>
      <c r="E92" s="11">
        <v>120.8712449921572</v>
      </c>
      <c r="F92" s="12">
        <v>191.21738636995144</v>
      </c>
      <c r="G92" s="12">
        <v>19.682080215654477</v>
      </c>
      <c r="H92" s="13">
        <v>772.84366166723794</v>
      </c>
      <c r="I92" s="10" t="s">
        <v>211</v>
      </c>
      <c r="J92" s="28" t="s">
        <v>2</v>
      </c>
      <c r="K92" s="11">
        <v>124.84284238333565</v>
      </c>
      <c r="L92" s="12">
        <v>234.17191979026865</v>
      </c>
      <c r="M92" s="12">
        <v>23.538381255664362</v>
      </c>
      <c r="N92" s="12">
        <v>57.118144115780112</v>
      </c>
      <c r="O92" s="13">
        <v>2386.6818758857116</v>
      </c>
      <c r="P92" s="10" t="s">
        <v>211</v>
      </c>
      <c r="Q92" s="28" t="s">
        <v>2</v>
      </c>
      <c r="R92" s="17">
        <v>1E-3</v>
      </c>
      <c r="S92" s="18">
        <v>1E-3</v>
      </c>
      <c r="T92" s="18">
        <v>1E-3</v>
      </c>
      <c r="U92" s="18">
        <v>-1670.9553583342542</v>
      </c>
      <c r="V92" s="11">
        <v>-3.9705973911784533</v>
      </c>
      <c r="W92" s="12">
        <v>-42.953533420317221</v>
      </c>
      <c r="X92" s="12">
        <v>-3.8553010400098802</v>
      </c>
      <c r="Y92" s="13">
        <v>1E-3</v>
      </c>
      <c r="Z92" s="10" t="s">
        <v>211</v>
      </c>
      <c r="AA92" s="28" t="s">
        <v>2</v>
      </c>
      <c r="AB92" s="17">
        <v>219653.77267129548</v>
      </c>
      <c r="AC92" s="18">
        <v>104150.2811992346</v>
      </c>
      <c r="AD92" s="18">
        <v>90083.203375961981</v>
      </c>
      <c r="AE92" s="19">
        <v>10727.722679085435</v>
      </c>
      <c r="AF92" s="145">
        <f t="shared" si="5"/>
        <v>382.55314342926869</v>
      </c>
      <c r="AG92" s="146">
        <f t="shared" si="4"/>
        <v>2443.8000200014917</v>
      </c>
    </row>
    <row r="93" spans="1:34">
      <c r="A93" s="37">
        <v>4</v>
      </c>
      <c r="B93" s="38">
        <v>2030</v>
      </c>
      <c r="C93" s="31" t="s">
        <v>211</v>
      </c>
      <c r="D93" s="28" t="s">
        <v>3</v>
      </c>
      <c r="E93" s="11">
        <v>77.541432559543281</v>
      </c>
      <c r="F93" s="12">
        <v>135.34965758071033</v>
      </c>
      <c r="G93" s="12">
        <v>15.899866468314343</v>
      </c>
      <c r="H93" s="13">
        <v>595.4787663459324</v>
      </c>
      <c r="I93" s="10" t="s">
        <v>211</v>
      </c>
      <c r="J93" s="28" t="s">
        <v>3</v>
      </c>
      <c r="K93" s="11">
        <v>79.156937757457584</v>
      </c>
      <c r="L93" s="12">
        <v>154.3800545440194</v>
      </c>
      <c r="M93" s="12">
        <v>18.157193939011332</v>
      </c>
      <c r="N93" s="12">
        <v>21.473368129501594</v>
      </c>
      <c r="O93" s="13">
        <v>1687.1780763406261</v>
      </c>
      <c r="P93" s="10" t="s">
        <v>211</v>
      </c>
      <c r="Q93" s="28" t="s">
        <v>3</v>
      </c>
      <c r="R93" s="17">
        <v>1E-3</v>
      </c>
      <c r="S93" s="18">
        <v>1E-3</v>
      </c>
      <c r="T93" s="18">
        <v>1E-3</v>
      </c>
      <c r="U93" s="18">
        <v>-989.35621808504163</v>
      </c>
      <c r="V93" s="11">
        <v>-1.6145051979143175</v>
      </c>
      <c r="W93" s="12">
        <v>-19.029396963309058</v>
      </c>
      <c r="X93" s="12">
        <v>-2.2563274706969887</v>
      </c>
      <c r="Y93" s="13">
        <v>-123.81446003915393</v>
      </c>
      <c r="Z93" s="10" t="s">
        <v>211</v>
      </c>
      <c r="AA93" s="28" t="s">
        <v>3</v>
      </c>
      <c r="AB93" s="17">
        <v>219718.51173596203</v>
      </c>
      <c r="AC93" s="18">
        <v>103387.64226948275</v>
      </c>
      <c r="AD93" s="18">
        <v>89419.81337596201</v>
      </c>
      <c r="AE93" s="19">
        <v>11068.875924756452</v>
      </c>
      <c r="AF93" s="145">
        <f t="shared" si="5"/>
        <v>251.69418624048831</v>
      </c>
      <c r="AG93" s="146">
        <f t="shared" si="4"/>
        <v>1708.6514444701277</v>
      </c>
    </row>
    <row r="94" spans="1:34">
      <c r="A94" s="37">
        <v>5</v>
      </c>
      <c r="B94" s="38">
        <v>2030</v>
      </c>
      <c r="C94" s="31" t="s">
        <v>211</v>
      </c>
      <c r="D94" s="28" t="s">
        <v>4</v>
      </c>
      <c r="E94" s="11">
        <v>60.839672996447113</v>
      </c>
      <c r="F94" s="12">
        <v>178.89820895266422</v>
      </c>
      <c r="G94" s="12">
        <v>21.634875151508229</v>
      </c>
      <c r="H94" s="13">
        <v>2054.8500358361766</v>
      </c>
      <c r="I94" s="10" t="s">
        <v>211</v>
      </c>
      <c r="J94" s="28" t="s">
        <v>4</v>
      </c>
      <c r="K94" s="11">
        <v>30.594394764309168</v>
      </c>
      <c r="L94" s="12">
        <v>115.21131578189585</v>
      </c>
      <c r="M94" s="12">
        <v>16.518463549465626</v>
      </c>
      <c r="N94" s="12">
        <v>34.004420985870844</v>
      </c>
      <c r="O94" s="13">
        <v>1999.5851543025854</v>
      </c>
      <c r="P94" s="10" t="s">
        <v>211</v>
      </c>
      <c r="Q94" s="28" t="s">
        <v>4</v>
      </c>
      <c r="R94" s="17">
        <v>1E-3</v>
      </c>
      <c r="S94" s="18">
        <v>1E-3</v>
      </c>
      <c r="T94" s="18">
        <v>2.8600841313456185</v>
      </c>
      <c r="U94" s="18">
        <v>-102.55399949143388</v>
      </c>
      <c r="V94" s="11">
        <v>30.246278232137932</v>
      </c>
      <c r="W94" s="12">
        <v>63.687893170768355</v>
      </c>
      <c r="X94" s="12">
        <v>2.2583274706969885</v>
      </c>
      <c r="Y94" s="13">
        <v>123.81646003915394</v>
      </c>
      <c r="Z94" s="10" t="s">
        <v>211</v>
      </c>
      <c r="AA94" s="28" t="s">
        <v>4</v>
      </c>
      <c r="AB94" s="17">
        <v>218647.08872732212</v>
      </c>
      <c r="AC94" s="18">
        <v>100298.01438589991</v>
      </c>
      <c r="AD94" s="18">
        <v>87862.723375961999</v>
      </c>
      <c r="AE94" s="19">
        <v>10562.949626301355</v>
      </c>
      <c r="AF94" s="145">
        <f t="shared" si="5"/>
        <v>162.32417409567063</v>
      </c>
      <c r="AG94" s="146">
        <f t="shared" si="4"/>
        <v>2033.5895752884562</v>
      </c>
    </row>
    <row r="95" spans="1:34">
      <c r="A95" s="37">
        <v>6</v>
      </c>
      <c r="B95" s="38">
        <v>2030</v>
      </c>
      <c r="C95" s="31" t="s">
        <v>211</v>
      </c>
      <c r="D95" s="28" t="s">
        <v>5</v>
      </c>
      <c r="E95" s="11">
        <v>7.6088023069702277</v>
      </c>
      <c r="F95" s="12">
        <v>547.67705933270759</v>
      </c>
      <c r="G95" s="12">
        <v>85.410599035157844</v>
      </c>
      <c r="H95" s="13">
        <v>750.7970269877701</v>
      </c>
      <c r="I95" s="10" t="s">
        <v>211</v>
      </c>
      <c r="J95" s="28" t="s">
        <v>5</v>
      </c>
      <c r="K95" s="11">
        <v>30.072659952895826</v>
      </c>
      <c r="L95" s="12">
        <v>374.14349780435748</v>
      </c>
      <c r="M95" s="12">
        <v>55.73348681415321</v>
      </c>
      <c r="N95" s="12">
        <v>60.907424115494983</v>
      </c>
      <c r="O95" s="13">
        <v>5378.5458389975111</v>
      </c>
      <c r="P95" s="10" t="s">
        <v>211</v>
      </c>
      <c r="Q95" s="28" t="s">
        <v>5</v>
      </c>
      <c r="R95" s="17">
        <v>1E-3</v>
      </c>
      <c r="S95" s="18">
        <v>1E-3</v>
      </c>
      <c r="T95" s="18">
        <v>29.412544179910409</v>
      </c>
      <c r="U95" s="18">
        <v>-4688.6552361252379</v>
      </c>
      <c r="V95" s="11">
        <v>-22.462857645925592</v>
      </c>
      <c r="W95" s="12">
        <v>173.53456152835003</v>
      </c>
      <c r="X95" s="12">
        <v>0.26656804109423687</v>
      </c>
      <c r="Y95" s="13">
        <v>1E-3</v>
      </c>
      <c r="Z95" s="10" t="s">
        <v>211</v>
      </c>
      <c r="AA95" s="28" t="s">
        <v>5</v>
      </c>
      <c r="AB95" s="17">
        <v>220410.56716347206</v>
      </c>
      <c r="AC95" s="18">
        <v>103854.44422214152</v>
      </c>
      <c r="AD95" s="18">
        <v>89031.55337596203</v>
      </c>
      <c r="AE95" s="19">
        <v>10207.695777623512</v>
      </c>
      <c r="AF95" s="145">
        <f t="shared" si="5"/>
        <v>459.94964457140651</v>
      </c>
      <c r="AG95" s="146">
        <f t="shared" si="4"/>
        <v>5439.453263113006</v>
      </c>
    </row>
    <row r="96" spans="1:34" ht="17" thickBot="1">
      <c r="A96" s="39">
        <v>7</v>
      </c>
      <c r="B96" s="54">
        <v>2030</v>
      </c>
      <c r="C96" s="32" t="s">
        <v>211</v>
      </c>
      <c r="D96" s="29" t="s">
        <v>6</v>
      </c>
      <c r="E96" s="21">
        <v>202.64302926208507</v>
      </c>
      <c r="F96" s="22">
        <v>216.27775962030455</v>
      </c>
      <c r="G96" s="22">
        <v>29.405610660470941</v>
      </c>
      <c r="H96" s="23">
        <v>323.34279476252431</v>
      </c>
      <c r="I96" s="20" t="s">
        <v>211</v>
      </c>
      <c r="J96" s="29" t="s">
        <v>6</v>
      </c>
      <c r="K96" s="21">
        <v>221.96363742305772</v>
      </c>
      <c r="L96" s="22">
        <v>231.82336087314349</v>
      </c>
      <c r="M96" s="22">
        <v>25.98676816866918</v>
      </c>
      <c r="N96" s="22">
        <v>40.654191614366439</v>
      </c>
      <c r="O96" s="23">
        <v>3118.7050764815258</v>
      </c>
      <c r="P96" s="20" t="s">
        <v>211</v>
      </c>
      <c r="Q96" s="29" t="s">
        <v>6</v>
      </c>
      <c r="R96" s="24">
        <v>1E-3</v>
      </c>
      <c r="S96" s="25">
        <v>1E-3</v>
      </c>
      <c r="T96" s="25">
        <v>3.6854105328960052</v>
      </c>
      <c r="U96" s="25">
        <v>-2836.0154733333675</v>
      </c>
      <c r="V96" s="21">
        <v>-19.319608160972571</v>
      </c>
      <c r="W96" s="22">
        <v>-15.544601252838888</v>
      </c>
      <c r="X96" s="22">
        <v>-0.26456804109423687</v>
      </c>
      <c r="Y96" s="23">
        <v>1E-3</v>
      </c>
      <c r="Z96" s="20" t="s">
        <v>211</v>
      </c>
      <c r="AA96" s="29" t="s">
        <v>6</v>
      </c>
      <c r="AB96" s="24">
        <v>219942.94916362155</v>
      </c>
      <c r="AC96" s="25">
        <v>102625.56540626296</v>
      </c>
      <c r="AD96" s="25">
        <v>89045.454290872745</v>
      </c>
      <c r="AE96" s="26">
        <v>10201.443548828393</v>
      </c>
      <c r="AF96" s="147">
        <f t="shared" si="5"/>
        <v>479.77376646487039</v>
      </c>
      <c r="AG96" s="148">
        <f t="shared" si="4"/>
        <v>3159.3592680958923</v>
      </c>
    </row>
    <row r="99" spans="1:28" s="58" customFormat="1">
      <c r="A99" s="57" t="s">
        <v>66</v>
      </c>
      <c r="B99" s="57"/>
    </row>
    <row r="100" spans="1:28" s="58" customFormat="1" ht="17" thickBot="1">
      <c r="A100" s="56" t="s">
        <v>63</v>
      </c>
    </row>
    <row r="101" spans="1:28" s="58" customFormat="1" ht="17" thickBot="1">
      <c r="A101" s="170"/>
      <c r="B101" s="679" t="s">
        <v>33</v>
      </c>
      <c r="C101" s="680"/>
      <c r="D101" s="680"/>
      <c r="E101" s="680"/>
      <c r="F101" s="681"/>
      <c r="G101" s="682" t="s">
        <v>34</v>
      </c>
      <c r="H101" s="683"/>
      <c r="I101" s="683"/>
      <c r="J101" s="683"/>
      <c r="K101" s="683"/>
      <c r="L101" s="683"/>
      <c r="M101" s="684"/>
      <c r="N101" s="679" t="s">
        <v>36</v>
      </c>
      <c r="O101" s="680"/>
      <c r="P101" s="680"/>
      <c r="Q101" s="680"/>
      <c r="R101" s="681"/>
      <c r="S101" s="682" t="s">
        <v>38</v>
      </c>
      <c r="T101" s="683"/>
      <c r="U101" s="683"/>
      <c r="V101" s="683"/>
      <c r="W101" s="684"/>
      <c r="X101" s="682" t="s">
        <v>67</v>
      </c>
      <c r="Y101" s="683"/>
      <c r="Z101" s="683"/>
      <c r="AA101" s="683"/>
      <c r="AB101" s="684"/>
    </row>
    <row r="102" spans="1:28" s="58" customFormat="1" ht="17" thickBot="1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7" thickBot="1">
      <c r="A103" s="434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>
      <c r="A104" s="159">
        <v>2018</v>
      </c>
      <c r="B104" s="126">
        <f t="shared" ref="B104:B116" si="6">SUMIFS(E$6:E$96,$B$6:$B$96,$A104)</f>
        <v>754.57999192206967</v>
      </c>
      <c r="C104" s="127">
        <f t="shared" ref="C104:C116" si="7">SUMIFS(F$6:F$96,$B$6:$B$96,$A104)</f>
        <v>1059.4367831280683</v>
      </c>
      <c r="D104" s="127">
        <f t="shared" ref="D104:D116" si="8">SUMIFS(G$6:G$96,$B$6:$B$96,$A104)</f>
        <v>97.747074134229763</v>
      </c>
      <c r="E104" s="128">
        <f>SUM(B104:D104)</f>
        <v>1911.7638491843677</v>
      </c>
      <c r="F104" s="127">
        <f t="shared" ref="F104:F116" si="9">SUMIFS(H$6:H$96,$B$6:$B$96,$A104)</f>
        <v>4246.4333566721834</v>
      </c>
      <c r="G104" s="126">
        <f t="shared" ref="G104:G116" si="10">SUMIFS(K$6:K$96,$B$6:$B$96,$A104)</f>
        <v>754.57999192206967</v>
      </c>
      <c r="H104" s="127">
        <f t="shared" ref="H104:H116" si="11">SUMIFS(L$6:L$96,$B$6:$B$96,$A104)</f>
        <v>1059.4367831280681</v>
      </c>
      <c r="I104" s="127">
        <f t="shared" ref="I104:I116" si="12">SUMIFS(M$6:M$96,$B$6:$B$96,$A104)</f>
        <v>95.751636940187325</v>
      </c>
      <c r="J104" s="128">
        <f>SUM(G104:I104)</f>
        <v>1909.7684119903251</v>
      </c>
      <c r="K104" s="127">
        <f t="shared" ref="K104:K116" si="13">SUMIFS(N$6:N$96,$B$6:$B$96,$A104)</f>
        <v>217.21155814112998</v>
      </c>
      <c r="L104" s="127">
        <f t="shared" ref="L104:L116" si="14">SUMIFS(O$6:O$96,$B$6:$B$96,$A104)</f>
        <v>12835.395477989525</v>
      </c>
      <c r="M104" s="162">
        <f>SUM(K104:L104)</f>
        <v>13052.607036130656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6" si="17">SUMIFS(T$6:T$96,$B$6:$B$96,$A104)</f>
        <v>2.0024371940424079</v>
      </c>
      <c r="Q104" s="138">
        <f>SUM(N104:P104)</f>
        <v>2.0164371940424077</v>
      </c>
      <c r="R104" s="127">
        <f t="shared" ref="R104:R116" si="18">SUMIFS(U$6:U$96,$B$6:$B$96,$A104)</f>
        <v>-8806.1666794584708</v>
      </c>
      <c r="S104" s="126">
        <f>SUMPRODUCT(AB6:AB12,K6:K12)/SUM(K6:K12)</f>
        <v>79291.006026788498</v>
      </c>
      <c r="T104" s="127">
        <f>SUMPRODUCT(AC6:AC12,L6:L12)/SUM(L6:L12)</f>
        <v>79472.188203116253</v>
      </c>
      <c r="U104" s="127">
        <f>SUMPRODUCT(AD6:AD12,M6:M12)/SUM(M6:M12)</f>
        <v>82941.792586116542</v>
      </c>
      <c r="V104" s="128">
        <f t="shared" ref="V104:V115" si="19">SUMPRODUCT(S104:U104,G104:I104)/J104</f>
        <v>79574.558654334236</v>
      </c>
      <c r="W104" s="129">
        <f>SUMPRODUCT(AE6:AE12,AG6:AG12)/SUM(AG6:AG12)</f>
        <v>7099.9176596539928</v>
      </c>
      <c r="X104" s="150">
        <f>B104-G104-N104</f>
        <v>-7.0000000000000001E-3</v>
      </c>
      <c r="Y104" s="151">
        <f t="shared" ref="Y104:AA116" si="20">C104-H104-O104</f>
        <v>-6.9999999997726265E-3</v>
      </c>
      <c r="Z104" s="151">
        <f t="shared" si="20"/>
        <v>-6.9999999999699192E-3</v>
      </c>
      <c r="AA104" s="151">
        <f>E104-J104-Q104</f>
        <v>-2.0999999999856023E-2</v>
      </c>
      <c r="AB104" s="152">
        <f>F104-M104-R104</f>
        <v>-7.0000000014260877E-3</v>
      </c>
    </row>
    <row r="105" spans="1:28" customFormat="1">
      <c r="A105" s="160">
        <v>2019</v>
      </c>
      <c r="B105" s="130">
        <f t="shared" si="6"/>
        <v>519.62756574953846</v>
      </c>
      <c r="C105" s="131">
        <f t="shared" si="7"/>
        <v>901.90737744594276</v>
      </c>
      <c r="D105" s="131">
        <f t="shared" si="8"/>
        <v>106.23261478598121</v>
      </c>
      <c r="E105" s="132">
        <f t="shared" ref="E105:E115" si="21">SUM(B105:D105)</f>
        <v>1527.7675579814625</v>
      </c>
      <c r="F105" s="131">
        <f t="shared" si="9"/>
        <v>4316.8760868025665</v>
      </c>
      <c r="G105" s="130">
        <f t="shared" si="10"/>
        <v>519.62756574953823</v>
      </c>
      <c r="H105" s="131">
        <f t="shared" si="11"/>
        <v>901.90737744594298</v>
      </c>
      <c r="I105" s="131">
        <f t="shared" si="12"/>
        <v>106.23261478598123</v>
      </c>
      <c r="J105" s="132">
        <f t="shared" ref="J105:J115" si="22">SUM(G105:I105)</f>
        <v>1527.7675579814625</v>
      </c>
      <c r="K105" s="131">
        <f t="shared" si="13"/>
        <v>231.75435627159848</v>
      </c>
      <c r="L105" s="131">
        <f t="shared" si="14"/>
        <v>11001.068808648841</v>
      </c>
      <c r="M105" s="163">
        <f t="shared" ref="M105:M115" si="23">SUM(K105:L105)</f>
        <v>11232.823164920439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-6915.9400781178747</v>
      </c>
      <c r="S105" s="130">
        <f>SUMPRODUCT(AB13:AB19,K13:K19)/SUM(K13:K19)</f>
        <v>105548.44664281659</v>
      </c>
      <c r="T105" s="131">
        <f>SUMPRODUCT(AC13:AC19,L13:L19)/SUM(L13:L19)</f>
        <v>83667.296331925478</v>
      </c>
      <c r="U105" s="131">
        <f>SUMPRODUCT(AD13:AD19,M13:M19)/SUM(M13:M19)</f>
        <v>93240.033121746135</v>
      </c>
      <c r="V105" s="132">
        <f t="shared" si="19"/>
        <v>91775.195774465567</v>
      </c>
      <c r="W105" s="133">
        <f>SUMPRODUCT(AE13:AE19,AG13:AG19)/SUM(AG13:AG19)</f>
        <v>7420.3539870722461</v>
      </c>
      <c r="X105" s="153">
        <f t="shared" ref="X105:X116" si="25">B105-G105-N105</f>
        <v>-6.9999999997726265E-3</v>
      </c>
      <c r="Y105" s="154">
        <f t="shared" si="20"/>
        <v>-7.0000000002273738E-3</v>
      </c>
      <c r="Z105" s="154">
        <f t="shared" si="20"/>
        <v>-7.000000000014211E-3</v>
      </c>
      <c r="AA105" s="154">
        <f t="shared" si="20"/>
        <v>-2.1000000000000001E-2</v>
      </c>
      <c r="AB105" s="155">
        <f t="shared" ref="AB105:AB116" si="26">F105-M105-R105</f>
        <v>-6.9999999977881089E-3</v>
      </c>
    </row>
    <row r="106" spans="1:28" customFormat="1">
      <c r="A106" s="160">
        <v>2020</v>
      </c>
      <c r="B106" s="130">
        <f t="shared" si="6"/>
        <v>597.57316673246464</v>
      </c>
      <c r="C106" s="131">
        <f t="shared" si="7"/>
        <v>1043.7109461884334</v>
      </c>
      <c r="D106" s="131">
        <f t="shared" si="8"/>
        <v>107.03280117908848</v>
      </c>
      <c r="E106" s="132">
        <f t="shared" si="21"/>
        <v>1748.3169140999864</v>
      </c>
      <c r="F106" s="131">
        <f t="shared" si="9"/>
        <v>4503.2090818369152</v>
      </c>
      <c r="G106" s="130">
        <f t="shared" si="10"/>
        <v>597.57316673246453</v>
      </c>
      <c r="H106" s="131">
        <f t="shared" si="11"/>
        <v>1043.7109461884334</v>
      </c>
      <c r="I106" s="131">
        <f t="shared" si="12"/>
        <v>107.03280117908854</v>
      </c>
      <c r="J106" s="132">
        <f t="shared" si="22"/>
        <v>1748.3169140999862</v>
      </c>
      <c r="K106" s="131">
        <f t="shared" si="13"/>
        <v>259.76120670327686</v>
      </c>
      <c r="L106" s="131">
        <f t="shared" si="14"/>
        <v>13227.889464401707</v>
      </c>
      <c r="M106" s="163">
        <f t="shared" si="23"/>
        <v>13487.650671104984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-8984.4345892680685</v>
      </c>
      <c r="S106" s="130">
        <f>SUMPRODUCT(AB20:AB26,K20:K26)/SUM(K20:K26)</f>
        <v>130870.66756083556</v>
      </c>
      <c r="T106" s="131">
        <f>SUMPRODUCT(AC20:AC26,L20:L26)/SUM(L20:L26)</f>
        <v>102221.76478883311</v>
      </c>
      <c r="U106" s="131">
        <f>SUMPRODUCT(AD20:AD26,M20:M26)/SUM(M20:M26)</f>
        <v>93190.351517059375</v>
      </c>
      <c r="V106" s="132">
        <f t="shared" si="19"/>
        <v>111461.02682509129</v>
      </c>
      <c r="W106" s="133">
        <f>SUMPRODUCT(AE20:AE26,AG20:AG26)/SUM(AG20:AG26)</f>
        <v>7642.2438157455408</v>
      </c>
      <c r="X106" s="153">
        <f t="shared" si="25"/>
        <v>-6.9999999998863133E-3</v>
      </c>
      <c r="Y106" s="154">
        <f t="shared" si="20"/>
        <v>-7.0000000000000001E-3</v>
      </c>
      <c r="Z106" s="154">
        <f t="shared" si="20"/>
        <v>-7.0000000000568436E-3</v>
      </c>
      <c r="AA106" s="154">
        <f t="shared" si="20"/>
        <v>-2.0999999999772628E-2</v>
      </c>
      <c r="AB106" s="155">
        <f t="shared" si="26"/>
        <v>-7.0000000014260877E-3</v>
      </c>
    </row>
    <row r="107" spans="1:28" customFormat="1">
      <c r="A107" s="160">
        <v>2021</v>
      </c>
      <c r="B107" s="130">
        <f t="shared" si="6"/>
        <v>615.80720452500714</v>
      </c>
      <c r="C107" s="131">
        <f t="shared" si="7"/>
        <v>1094.5736513351221</v>
      </c>
      <c r="D107" s="131">
        <f t="shared" si="8"/>
        <v>113.66355054731918</v>
      </c>
      <c r="E107" s="132">
        <f t="shared" si="21"/>
        <v>1824.0444064074484</v>
      </c>
      <c r="F107" s="131">
        <f t="shared" si="9"/>
        <v>4685.3900596601534</v>
      </c>
      <c r="G107" s="130">
        <f t="shared" si="10"/>
        <v>615.80720452500702</v>
      </c>
      <c r="H107" s="131">
        <f t="shared" si="11"/>
        <v>1094.5736513351226</v>
      </c>
      <c r="I107" s="131">
        <f t="shared" si="12"/>
        <v>113.66355054731918</v>
      </c>
      <c r="J107" s="132">
        <f t="shared" si="22"/>
        <v>1824.0444064074486</v>
      </c>
      <c r="K107" s="131">
        <f t="shared" si="13"/>
        <v>268.91570000166752</v>
      </c>
      <c r="L107" s="131">
        <f t="shared" si="14"/>
        <v>13937.268248270604</v>
      </c>
      <c r="M107" s="163">
        <f t="shared" si="23"/>
        <v>14206.183948272272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-9520.7868886121178</v>
      </c>
      <c r="S107" s="130">
        <f>SUMPRODUCT(AB27:AB33,K27:K33)/SUM(K27:K33)</f>
        <v>138307.77056000193</v>
      </c>
      <c r="T107" s="131">
        <f>SUMPRODUCT(AC27:AC33,L27:L33)/SUM(L27:L33)</f>
        <v>105829.02638285772</v>
      </c>
      <c r="U107" s="131">
        <f>SUMPRODUCT(AD27:AD33,M27:M33)/SUM(M27:M33)</f>
        <v>95833.975984896373</v>
      </c>
      <c r="V107" s="132">
        <f t="shared" si="19"/>
        <v>116171.19331465579</v>
      </c>
      <c r="W107" s="133">
        <f>SUMPRODUCT(AE27:AE33,AG27:AG33)/SUM(AG27:AG33)</f>
        <v>7898.7829608529219</v>
      </c>
      <c r="X107" s="153">
        <f t="shared" si="25"/>
        <v>-6.9999999998863133E-3</v>
      </c>
      <c r="Y107" s="154">
        <f t="shared" si="20"/>
        <v>-7.0000000004547475E-3</v>
      </c>
      <c r="Z107" s="154">
        <f t="shared" si="20"/>
        <v>-7.0000000000000001E-3</v>
      </c>
      <c r="AA107" s="154">
        <f t="shared" si="20"/>
        <v>-2.1000000000227375E-2</v>
      </c>
      <c r="AB107" s="155">
        <f t="shared" si="26"/>
        <v>-7.0000000014260877E-3</v>
      </c>
    </row>
    <row r="108" spans="1:28" customFormat="1">
      <c r="A108" s="160">
        <v>2022</v>
      </c>
      <c r="B108" s="130">
        <f t="shared" si="6"/>
        <v>634.55465047247878</v>
      </c>
      <c r="C108" s="131">
        <f t="shared" si="7"/>
        <v>1154.0374508997318</v>
      </c>
      <c r="D108" s="131">
        <f t="shared" si="8"/>
        <v>121.66103980911268</v>
      </c>
      <c r="E108" s="132">
        <f t="shared" si="21"/>
        <v>1910.2531411813231</v>
      </c>
      <c r="F108" s="131">
        <f t="shared" si="9"/>
        <v>4891.8019359395703</v>
      </c>
      <c r="G108" s="130">
        <f t="shared" si="10"/>
        <v>634.5546504724789</v>
      </c>
      <c r="H108" s="131">
        <f t="shared" si="11"/>
        <v>1154.037450899732</v>
      </c>
      <c r="I108" s="131">
        <f t="shared" si="12"/>
        <v>121.66103980911264</v>
      </c>
      <c r="J108" s="132">
        <f t="shared" si="22"/>
        <v>1910.2531411813236</v>
      </c>
      <c r="K108" s="131">
        <f t="shared" si="13"/>
        <v>277.84916322054409</v>
      </c>
      <c r="L108" s="131">
        <f t="shared" si="14"/>
        <v>14707.142739460802</v>
      </c>
      <c r="M108" s="163">
        <f t="shared" si="23"/>
        <v>14984.991902681346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-10093.182966741775</v>
      </c>
      <c r="S108" s="130">
        <f>SUMPRODUCT(AB34:AB40,K34:K40)/SUM(K34:K40)</f>
        <v>145971.71236524178</v>
      </c>
      <c r="T108" s="131">
        <f>SUMPRODUCT(AC34:AC40,L34:L40)/SUM(L34:L40)</f>
        <v>108744.70985998143</v>
      </c>
      <c r="U108" s="131">
        <f>SUMPRODUCT(AD34:AD40,M34:M40)/SUM(M34:M40)</f>
        <v>97633.786336384335</v>
      </c>
      <c r="V108" s="132">
        <f t="shared" si="19"/>
        <v>120403.26996053998</v>
      </c>
      <c r="W108" s="133">
        <f>SUMPRODUCT(AE34:AE40,AG34:AG40)/SUM(AG34:AG40)</f>
        <v>8161.7388289450864</v>
      </c>
      <c r="X108" s="153">
        <f t="shared" si="25"/>
        <v>-7.000000000113687E-3</v>
      </c>
      <c r="Y108" s="154">
        <f t="shared" si="20"/>
        <v>-7.0000000002273738E-3</v>
      </c>
      <c r="Z108" s="154">
        <f t="shared" si="20"/>
        <v>-6.9999999999573676E-3</v>
      </c>
      <c r="AA108" s="154">
        <f t="shared" si="20"/>
        <v>-2.1000000000454749E-2</v>
      </c>
      <c r="AB108" s="155">
        <f t="shared" si="26"/>
        <v>-6.9999999996070983E-3</v>
      </c>
    </row>
    <row r="109" spans="1:28" customFormat="1">
      <c r="A109" s="160">
        <v>2023</v>
      </c>
      <c r="B109" s="130">
        <f t="shared" si="6"/>
        <v>653.84648730446588</v>
      </c>
      <c r="C109" s="131">
        <f t="shared" si="7"/>
        <v>1223.3042529076447</v>
      </c>
      <c r="D109" s="131">
        <f t="shared" si="8"/>
        <v>131.2661947638793</v>
      </c>
      <c r="E109" s="132">
        <f t="shared" si="21"/>
        <v>2008.41693497599</v>
      </c>
      <c r="F109" s="131">
        <f t="shared" si="9"/>
        <v>5122.6583367306812</v>
      </c>
      <c r="G109" s="130">
        <f t="shared" si="10"/>
        <v>653.84648730446588</v>
      </c>
      <c r="H109" s="131">
        <f t="shared" si="11"/>
        <v>1223.3042529076442</v>
      </c>
      <c r="I109" s="131">
        <f t="shared" si="12"/>
        <v>131.26619476387933</v>
      </c>
      <c r="J109" s="132">
        <f t="shared" si="22"/>
        <v>2008.4169349759895</v>
      </c>
      <c r="K109" s="131">
        <f t="shared" si="13"/>
        <v>286.58464887845588</v>
      </c>
      <c r="L109" s="131">
        <f t="shared" si="14"/>
        <v>15547.609057216567</v>
      </c>
      <c r="M109" s="163">
        <f t="shared" si="23"/>
        <v>15834.193706095022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-10711.528369364341</v>
      </c>
      <c r="S109" s="130">
        <f>SUMPRODUCT(AB41:AB47,K41:K47)/SUM(K41:K47)</f>
        <v>153847.67188109879</v>
      </c>
      <c r="T109" s="131">
        <f>SUMPRODUCT(AC41:AC47,L41:L47)/SUM(L41:L47)</f>
        <v>110887.18107995545</v>
      </c>
      <c r="U109" s="131">
        <f>SUMPRODUCT(AD41:AD47,M41:M47)/SUM(M41:M47)</f>
        <v>98524.916944257042</v>
      </c>
      <c r="V109" s="132">
        <f t="shared" si="19"/>
        <v>124065.13142011262</v>
      </c>
      <c r="W109" s="133">
        <f>SUMPRODUCT(AE41:AE47,AG41:AG47)/SUM(AG41:AG47)</f>
        <v>8419.3291964554282</v>
      </c>
      <c r="X109" s="153">
        <f t="shared" si="25"/>
        <v>-7.0000000000000001E-3</v>
      </c>
      <c r="Y109" s="154">
        <f t="shared" si="20"/>
        <v>-6.9999999995452528E-3</v>
      </c>
      <c r="Z109" s="154">
        <f t="shared" si="20"/>
        <v>-7.0000000000284219E-3</v>
      </c>
      <c r="AA109" s="154">
        <f t="shared" si="20"/>
        <v>-2.0999999999545254E-2</v>
      </c>
      <c r="AB109" s="155">
        <f t="shared" si="26"/>
        <v>-6.9999999996070983E-3</v>
      </c>
    </row>
    <row r="110" spans="1:28" customFormat="1">
      <c r="A110" s="160">
        <v>2024</v>
      </c>
      <c r="B110" s="130">
        <f t="shared" si="6"/>
        <v>673.64820406833246</v>
      </c>
      <c r="C110" s="131">
        <f t="shared" si="7"/>
        <v>1303.6410914249288</v>
      </c>
      <c r="D110" s="131">
        <f t="shared" si="8"/>
        <v>142.76018718829039</v>
      </c>
      <c r="E110" s="132">
        <f t="shared" si="21"/>
        <v>2120.0494826815516</v>
      </c>
      <c r="F110" s="131">
        <f t="shared" si="9"/>
        <v>5386.6446305001964</v>
      </c>
      <c r="G110" s="130">
        <f t="shared" si="10"/>
        <v>673.64820406833235</v>
      </c>
      <c r="H110" s="131">
        <f t="shared" si="11"/>
        <v>1303.6410914249291</v>
      </c>
      <c r="I110" s="131">
        <f t="shared" si="12"/>
        <v>142.76018718829039</v>
      </c>
      <c r="J110" s="132">
        <f t="shared" si="22"/>
        <v>2120.0494826815516</v>
      </c>
      <c r="K110" s="131">
        <f t="shared" si="13"/>
        <v>294.37421656424709</v>
      </c>
      <c r="L110" s="131">
        <f t="shared" si="14"/>
        <v>16456.485358714872</v>
      </c>
      <c r="M110" s="163">
        <f t="shared" si="23"/>
        <v>16750.859575279119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-11364.207944778924</v>
      </c>
      <c r="S110" s="130">
        <f>SUMPRODUCT(AB48:AB54,K48:K54)/SUM(K48:K54)</f>
        <v>161925.2906077556</v>
      </c>
      <c r="T110" s="131">
        <f>SUMPRODUCT(AC48:AC54,L48:L54)/SUM(L48:L54)</f>
        <v>112207.0734502205</v>
      </c>
      <c r="U110" s="131">
        <f>SUMPRODUCT(AD48:AD54,M48:M54)/SUM(M48:M54)</f>
        <v>98478.149443916758</v>
      </c>
      <c r="V110" s="132">
        <f t="shared" si="19"/>
        <v>127080.6149379102</v>
      </c>
      <c r="W110" s="133">
        <f>SUMPRODUCT(AE48:AE54,AG48:AG54)/SUM(AG48:AG54)</f>
        <v>8686.6062272615345</v>
      </c>
      <c r="X110" s="153">
        <f t="shared" si="25"/>
        <v>-6.9999999998863133E-3</v>
      </c>
      <c r="Y110" s="154">
        <f t="shared" si="20"/>
        <v>-7.0000000002273738E-3</v>
      </c>
      <c r="Z110" s="154">
        <f t="shared" si="20"/>
        <v>-7.0000000000000001E-3</v>
      </c>
      <c r="AA110" s="154">
        <f t="shared" si="20"/>
        <v>-2.1000000000000001E-2</v>
      </c>
      <c r="AB110" s="155">
        <f t="shared" si="26"/>
        <v>-6.9999999996070983E-3</v>
      </c>
    </row>
    <row r="111" spans="1:28" customFormat="1">
      <c r="A111" s="160">
        <v>2025</v>
      </c>
      <c r="B111" s="130">
        <f t="shared" si="6"/>
        <v>693.98581658391402</v>
      </c>
      <c r="C111" s="131">
        <f t="shared" si="7"/>
        <v>1396.6748750737509</v>
      </c>
      <c r="D111" s="131">
        <f t="shared" si="8"/>
        <v>156.5018668545307</v>
      </c>
      <c r="E111" s="132">
        <f t="shared" si="21"/>
        <v>2247.1625585121956</v>
      </c>
      <c r="F111" s="131">
        <f t="shared" si="9"/>
        <v>5687.7562034390457</v>
      </c>
      <c r="G111" s="130">
        <f t="shared" si="10"/>
        <v>693.9858165839139</v>
      </c>
      <c r="H111" s="131">
        <f t="shared" si="11"/>
        <v>1396.6748750737511</v>
      </c>
      <c r="I111" s="131">
        <f t="shared" si="12"/>
        <v>156.50186685453079</v>
      </c>
      <c r="J111" s="132">
        <f t="shared" si="22"/>
        <v>2247.1625585121956</v>
      </c>
      <c r="K111" s="131">
        <f t="shared" si="13"/>
        <v>301.20465070685219</v>
      </c>
      <c r="L111" s="131">
        <f t="shared" si="14"/>
        <v>17445.4019378019</v>
      </c>
      <c r="M111" s="163">
        <f t="shared" si="23"/>
        <v>17746.606588508752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7.0000000000000001E-3</v>
      </c>
      <c r="Q111" s="139">
        <f t="shared" si="24"/>
        <v>2.1000000000000001E-2</v>
      </c>
      <c r="R111" s="131">
        <f t="shared" si="18"/>
        <v>-12058.843385069709</v>
      </c>
      <c r="S111" s="130">
        <f>SUMPRODUCT(AB55:AB61,K55:K61)/SUM(K55:K61)</f>
        <v>170197.62959913901</v>
      </c>
      <c r="T111" s="131">
        <f>SUMPRODUCT(AC55:AC61,L55:L61)/SUM(L55:L61)</f>
        <v>112684.13780618466</v>
      </c>
      <c r="U111" s="131">
        <f>SUMPRODUCT(AD55:AD61,M55:M61)/SUM(M55:M61)</f>
        <v>97511.230980718625</v>
      </c>
      <c r="V111" s="132">
        <f t="shared" si="19"/>
        <v>129389.18621513653</v>
      </c>
      <c r="W111" s="133">
        <f>SUMPRODUCT(AE55:AE61,AG55:AG61)/SUM(AG55:AG61)</f>
        <v>8963.9224519055497</v>
      </c>
      <c r="X111" s="153">
        <f t="shared" si="25"/>
        <v>-6.9999999998863133E-3</v>
      </c>
      <c r="Y111" s="154">
        <f t="shared" si="20"/>
        <v>-7.0000000002273738E-3</v>
      </c>
      <c r="Z111" s="154">
        <f t="shared" si="20"/>
        <v>-7.0000000000852653E-3</v>
      </c>
      <c r="AA111" s="154">
        <f t="shared" si="20"/>
        <v>-2.1000000000000001E-2</v>
      </c>
      <c r="AB111" s="155">
        <f t="shared" si="26"/>
        <v>-6.9999999959691195E-3</v>
      </c>
    </row>
    <row r="112" spans="1:28" customFormat="1">
      <c r="A112" s="160">
        <v>2026</v>
      </c>
      <c r="B112" s="130">
        <f t="shared" si="6"/>
        <v>714.90646463127723</v>
      </c>
      <c r="C112" s="131">
        <f t="shared" si="7"/>
        <v>1504.3978008844635</v>
      </c>
      <c r="D112" s="131">
        <f t="shared" si="8"/>
        <v>172.94384044777897</v>
      </c>
      <c r="E112" s="132">
        <f t="shared" si="21"/>
        <v>2392.2481059635197</v>
      </c>
      <c r="F112" s="131">
        <f t="shared" si="9"/>
        <v>6026.0867220143218</v>
      </c>
      <c r="G112" s="130">
        <f t="shared" si="10"/>
        <v>714.90646463127723</v>
      </c>
      <c r="H112" s="131">
        <f t="shared" si="11"/>
        <v>1504.3978008844635</v>
      </c>
      <c r="I112" s="131">
        <f t="shared" si="12"/>
        <v>172.94384044777888</v>
      </c>
      <c r="J112" s="132">
        <f t="shared" si="22"/>
        <v>2392.2481059635193</v>
      </c>
      <c r="K112" s="131">
        <f t="shared" si="13"/>
        <v>306.93205155420571</v>
      </c>
      <c r="L112" s="131">
        <f t="shared" si="14"/>
        <v>18530.074569573884</v>
      </c>
      <c r="M112" s="163">
        <f t="shared" si="23"/>
        <v>18837.00662112809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7.0000000000000001E-3</v>
      </c>
      <c r="Q112" s="139">
        <f t="shared" si="24"/>
        <v>2.1000000000000001E-2</v>
      </c>
      <c r="R112" s="131">
        <f t="shared" si="18"/>
        <v>-12810.912899113768</v>
      </c>
      <c r="S112" s="130">
        <f>SUMPRODUCT(AB62:AB68,K62:K68)/SUM(K62:K68)</f>
        <v>178650.48560245999</v>
      </c>
      <c r="T112" s="131">
        <f>SUMPRODUCT(AC62:AC68,L62:L68)/SUM(L62:L68)</f>
        <v>112295.63511812224</v>
      </c>
      <c r="U112" s="131">
        <f>SUMPRODUCT(AD62:AD68,M62:M68)/SUM(M62:M68)</f>
        <v>95641.112131552189</v>
      </c>
      <c r="V112" s="132">
        <f t="shared" si="19"/>
        <v>130921.30119920187</v>
      </c>
      <c r="W112" s="133">
        <f>SUMPRODUCT(AE62:AE68,AG62:AG68)/SUM(AG62:AG68)</f>
        <v>9239.9370018150294</v>
      </c>
      <c r="X112" s="153">
        <f t="shared" si="25"/>
        <v>-7.0000000000000001E-3</v>
      </c>
      <c r="Y112" s="154">
        <f t="shared" si="20"/>
        <v>-7.0000000000000001E-3</v>
      </c>
      <c r="Z112" s="154">
        <f t="shared" si="20"/>
        <v>-6.999999999914735E-3</v>
      </c>
      <c r="AA112" s="154">
        <f t="shared" si="20"/>
        <v>-2.0999999999545254E-2</v>
      </c>
      <c r="AB112" s="155">
        <f t="shared" si="26"/>
        <v>-6.9999999996070983E-3</v>
      </c>
    </row>
    <row r="113" spans="1:28" customFormat="1">
      <c r="A113" s="160">
        <v>2027</v>
      </c>
      <c r="B113" s="130">
        <f t="shared" si="6"/>
        <v>736.39752644285272</v>
      </c>
      <c r="C113" s="131">
        <f t="shared" si="7"/>
        <v>1629.1349197377717</v>
      </c>
      <c r="D113" s="131">
        <f t="shared" si="8"/>
        <v>192.63928625636652</v>
      </c>
      <c r="E113" s="132">
        <f t="shared" si="21"/>
        <v>2558.1717324369911</v>
      </c>
      <c r="F113" s="131">
        <f t="shared" si="9"/>
        <v>6410.7951737258682</v>
      </c>
      <c r="G113" s="130">
        <f t="shared" si="10"/>
        <v>736.39752644285272</v>
      </c>
      <c r="H113" s="131">
        <f t="shared" si="11"/>
        <v>1629.134919737771</v>
      </c>
      <c r="I113" s="131">
        <f t="shared" si="12"/>
        <v>192.63928625636655</v>
      </c>
      <c r="J113" s="132">
        <f t="shared" si="22"/>
        <v>2558.1717324369906</v>
      </c>
      <c r="K113" s="131">
        <f t="shared" si="13"/>
        <v>311.27810284552061</v>
      </c>
      <c r="L113" s="131">
        <f t="shared" si="14"/>
        <v>19715.256819678652</v>
      </c>
      <c r="M113" s="163">
        <f t="shared" si="23"/>
        <v>20026.534922524173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7.0000000000000001E-3</v>
      </c>
      <c r="Q113" s="139">
        <f t="shared" si="24"/>
        <v>2.1000000000000001E-2</v>
      </c>
      <c r="R113" s="131">
        <f t="shared" si="18"/>
        <v>-13615.732748798306</v>
      </c>
      <c r="S113" s="130">
        <f>SUMPRODUCT(AB69:AB75,K69:K75)/SUM(K69:K75)</f>
        <v>187269.88735465053</v>
      </c>
      <c r="T113" s="131">
        <f>SUMPRODUCT(AC69:AC75,L69:L75)/SUM(L69:L75)</f>
        <v>111055.93873342637</v>
      </c>
      <c r="U113" s="131">
        <f>SUMPRODUCT(AD69:AD75,M69:M75)/SUM(M69:M75)</f>
        <v>92925.556389912555</v>
      </c>
      <c r="V113" s="132">
        <f t="shared" si="19"/>
        <v>131629.67061528272</v>
      </c>
      <c r="W113" s="133">
        <f>SUMPRODUCT(AE69:AE75,AG69:AG75)/SUM(AG69:AG75)</f>
        <v>9525.9414276848056</v>
      </c>
      <c r="X113" s="153">
        <f t="shared" si="25"/>
        <v>-7.0000000000000001E-3</v>
      </c>
      <c r="Y113" s="154">
        <f t="shared" si="20"/>
        <v>-6.9999999993178791E-3</v>
      </c>
      <c r="Z113" s="154">
        <f t="shared" si="20"/>
        <v>-7.0000000000284219E-3</v>
      </c>
      <c r="AA113" s="154">
        <f t="shared" si="20"/>
        <v>-2.0999999999545254E-2</v>
      </c>
      <c r="AB113" s="155">
        <f t="shared" si="26"/>
        <v>-6.9999999996070983E-3</v>
      </c>
    </row>
    <row r="114" spans="1:28" customFormat="1">
      <c r="A114" s="160">
        <v>2028</v>
      </c>
      <c r="B114" s="130">
        <f t="shared" si="6"/>
        <v>758.56228617169859</v>
      </c>
      <c r="C114" s="131">
        <f t="shared" si="7"/>
        <v>1773.7428534080857</v>
      </c>
      <c r="D114" s="131">
        <f t="shared" si="8"/>
        <v>216.77614299357955</v>
      </c>
      <c r="E114" s="132">
        <f t="shared" si="21"/>
        <v>2749.0812825733638</v>
      </c>
      <c r="F114" s="131">
        <f t="shared" si="9"/>
        <v>6851.1113419466528</v>
      </c>
      <c r="G114" s="130">
        <f t="shared" si="10"/>
        <v>758.56228617169847</v>
      </c>
      <c r="H114" s="131">
        <f t="shared" si="11"/>
        <v>1773.7428534080857</v>
      </c>
      <c r="I114" s="131">
        <f t="shared" si="12"/>
        <v>215.79520306524932</v>
      </c>
      <c r="J114" s="132">
        <f t="shared" si="22"/>
        <v>2748.1003426450334</v>
      </c>
      <c r="K114" s="131">
        <f t="shared" si="13"/>
        <v>314.43144272247588</v>
      </c>
      <c r="L114" s="131">
        <f t="shared" si="14"/>
        <v>21048.883396307683</v>
      </c>
      <c r="M114" s="163">
        <f t="shared" si="23"/>
        <v>21363.314839030158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0.98793992833018962</v>
      </c>
      <c r="Q114" s="139">
        <f t="shared" si="24"/>
        <v>1.0019399283301895</v>
      </c>
      <c r="R114" s="131">
        <f t="shared" si="18"/>
        <v>-14512.196497083509</v>
      </c>
      <c r="S114" s="130">
        <f>SUMPRODUCT(AB76:AB82,K76:K82)/SUM(K76:K82)</f>
        <v>196245.21593420487</v>
      </c>
      <c r="T114" s="131">
        <f>SUMPRODUCT(AC76:AC82,L76:L82)/SUM(L76:L82)</f>
        <v>109058.79704999331</v>
      </c>
      <c r="U114" s="131">
        <f>SUMPRODUCT(AD76:AD82,M76:M82)/SUM(M76:M82)</f>
        <v>89701.902446564651</v>
      </c>
      <c r="V114" s="132">
        <f t="shared" si="19"/>
        <v>131604.99133147139</v>
      </c>
      <c r="W114" s="133">
        <f>SUMPRODUCT(AE76:AE82,AG76:AG82)/SUM(AG76:AG82)</f>
        <v>9822.322151920147</v>
      </c>
      <c r="X114" s="153">
        <f t="shared" si="25"/>
        <v>-6.9999999998863133E-3</v>
      </c>
      <c r="Y114" s="154">
        <f t="shared" si="20"/>
        <v>-7.0000000000000001E-3</v>
      </c>
      <c r="Z114" s="154">
        <f t="shared" si="20"/>
        <v>-6.9999999999598161E-3</v>
      </c>
      <c r="AA114" s="154">
        <f t="shared" si="20"/>
        <v>-2.0999999999817609E-2</v>
      </c>
      <c r="AB114" s="155">
        <f t="shared" si="26"/>
        <v>-6.9999999959691195E-3</v>
      </c>
    </row>
    <row r="115" spans="1:28" s="283" customFormat="1">
      <c r="A115" s="160">
        <v>2029</v>
      </c>
      <c r="B115" s="130">
        <f t="shared" si="6"/>
        <v>781.51580183436761</v>
      </c>
      <c r="C115" s="131">
        <f t="shared" si="7"/>
        <v>1942.1282826435311</v>
      </c>
      <c r="D115" s="131">
        <f t="shared" si="8"/>
        <v>254.89697227748664</v>
      </c>
      <c r="E115" s="132">
        <f t="shared" si="21"/>
        <v>2978.5410567553854</v>
      </c>
      <c r="F115" s="131">
        <f t="shared" si="9"/>
        <v>7369.6411287932606</v>
      </c>
      <c r="G115" s="130">
        <f t="shared" si="10"/>
        <v>781.51580183436738</v>
      </c>
      <c r="H115" s="131">
        <f t="shared" si="11"/>
        <v>1942.1282826435308</v>
      </c>
      <c r="I115" s="131">
        <f t="shared" si="12"/>
        <v>235.05978604292426</v>
      </c>
      <c r="J115" s="132">
        <f t="shared" si="22"/>
        <v>2958.7038705208224</v>
      </c>
      <c r="K115" s="131">
        <f t="shared" si="13"/>
        <v>321.5464961728041</v>
      </c>
      <c r="L115" s="131">
        <f t="shared" si="14"/>
        <v>22783.051690120788</v>
      </c>
      <c r="M115" s="163">
        <f t="shared" si="23"/>
        <v>23104.598186293591</v>
      </c>
      <c r="N115" s="131">
        <f t="shared" si="15"/>
        <v>7.0000000000000001E-3</v>
      </c>
      <c r="O115" s="131">
        <f t="shared" si="16"/>
        <v>7.0000000000000001E-3</v>
      </c>
      <c r="P115" s="131">
        <f t="shared" si="17"/>
        <v>19.844186234562361</v>
      </c>
      <c r="Q115" s="139">
        <f t="shared" si="24"/>
        <v>19.858186234562361</v>
      </c>
      <c r="R115" s="131">
        <f t="shared" si="18"/>
        <v>-15734.950057500333</v>
      </c>
      <c r="S115" s="130">
        <f t="shared" ref="S115:U116" si="27">SUMPRODUCT(AB83:AB89,K83:K89)/SUM(K83:K89)</f>
        <v>206028.36605497953</v>
      </c>
      <c r="T115" s="131">
        <f t="shared" si="27"/>
        <v>106687.38815075859</v>
      </c>
      <c r="U115" s="131">
        <f t="shared" si="27"/>
        <v>89829.320909496018</v>
      </c>
      <c r="V115" s="132">
        <f t="shared" si="19"/>
        <v>131588.11953420393</v>
      </c>
      <c r="W115" s="133">
        <f>SUMPRODUCT(AE83:AE89,AG83:AG89)/SUM(AG83:AG89)</f>
        <v>10129.13613866273</v>
      </c>
      <c r="X115" s="153">
        <f t="shared" si="25"/>
        <v>-6.9999999997726265E-3</v>
      </c>
      <c r="Y115" s="154">
        <f t="shared" si="20"/>
        <v>-6.9999999997726265E-3</v>
      </c>
      <c r="Z115" s="154">
        <f t="shared" si="20"/>
        <v>-6.9999999999801332E-3</v>
      </c>
      <c r="AA115" s="154">
        <f t="shared" si="20"/>
        <v>-2.0999999999382624E-2</v>
      </c>
      <c r="AB115" s="155">
        <f t="shared" si="26"/>
        <v>-6.9999999977881089E-3</v>
      </c>
    </row>
    <row r="116" spans="1:28" s="283" customFormat="1" ht="17" thickBot="1">
      <c r="A116" s="161">
        <v>2030</v>
      </c>
      <c r="B116" s="134">
        <f t="shared" si="6"/>
        <v>805.09795864173816</v>
      </c>
      <c r="C116" s="135">
        <f t="shared" si="7"/>
        <v>2137.7081347832759</v>
      </c>
      <c r="D116" s="135">
        <f t="shared" si="8"/>
        <v>301.74243695974741</v>
      </c>
      <c r="E116" s="136">
        <f t="shared" ref="E116" si="28">SUM(B116:D116)</f>
        <v>3244.5485303847618</v>
      </c>
      <c r="F116" s="135">
        <f t="shared" si="9"/>
        <v>7961.0311418064266</v>
      </c>
      <c r="G116" s="134">
        <f t="shared" si="10"/>
        <v>805.09795864173816</v>
      </c>
      <c r="H116" s="135">
        <f t="shared" si="11"/>
        <v>2137.7081347832755</v>
      </c>
      <c r="I116" s="135">
        <f t="shared" si="12"/>
        <v>258.46176944510728</v>
      </c>
      <c r="J116" s="136">
        <f t="shared" ref="J116" si="29">SUM(G116:I116)</f>
        <v>3201.2678628701206</v>
      </c>
      <c r="K116" s="135">
        <f t="shared" si="13"/>
        <v>327.22402398827313</v>
      </c>
      <c r="L116" s="135">
        <f t="shared" si="14"/>
        <v>24721.413336505739</v>
      </c>
      <c r="M116" s="164">
        <f t="shared" ref="M116" si="30">SUM(K116:L116)</f>
        <v>25048.637360494013</v>
      </c>
      <c r="N116" s="135">
        <f t="shared" si="15"/>
        <v>7.0000000000000001E-3</v>
      </c>
      <c r="O116" s="135">
        <f t="shared" si="16"/>
        <v>7.0000000000000001E-3</v>
      </c>
      <c r="P116" s="135">
        <f t="shared" si="17"/>
        <v>43.287667514640198</v>
      </c>
      <c r="Q116" s="140">
        <f t="shared" ref="Q116" si="31">SUM(N116:P116)</f>
        <v>43.301667514640201</v>
      </c>
      <c r="R116" s="135">
        <f t="shared" si="18"/>
        <v>-17087.599218687588</v>
      </c>
      <c r="S116" s="134">
        <f t="shared" si="27"/>
        <v>208475.159696341</v>
      </c>
      <c r="T116" s="135">
        <f t="shared" si="27"/>
        <v>106441.39774944591</v>
      </c>
      <c r="U116" s="135">
        <f t="shared" si="27"/>
        <v>89664.607340177987</v>
      </c>
      <c r="V116" s="136">
        <f t="shared" ref="V116" si="32">SUMPRODUCT(S116:U116,G116:I116)/J116</f>
        <v>130747.70945290678</v>
      </c>
      <c r="W116" s="137">
        <f>SUMPRODUCT(AE84:AE90,AG84:AG90)/SUM(AG84:AG90)</f>
        <v>10179.091594748372</v>
      </c>
      <c r="X116" s="156">
        <f t="shared" si="25"/>
        <v>-7.0000000000000001E-3</v>
      </c>
      <c r="Y116" s="157">
        <f t="shared" si="20"/>
        <v>-6.9999999995452528E-3</v>
      </c>
      <c r="Z116" s="157">
        <f t="shared" si="20"/>
        <v>-7.0000000000689511E-3</v>
      </c>
      <c r="AA116" s="157">
        <f t="shared" si="20"/>
        <v>-2.0999999998991825E-2</v>
      </c>
      <c r="AB116" s="158">
        <f t="shared" si="26"/>
        <v>-6.9999999977881089E-3</v>
      </c>
    </row>
    <row r="117" spans="1:28">
      <c r="B117" s="451"/>
      <c r="C117" s="451"/>
      <c r="D117" s="451"/>
      <c r="E117" s="451"/>
      <c r="F117" s="451"/>
      <c r="G117" s="451"/>
      <c r="H117" s="451"/>
      <c r="I117" s="451"/>
      <c r="J117" s="451"/>
      <c r="K117" s="451"/>
      <c r="L117" s="451"/>
      <c r="M117" s="451"/>
      <c r="N117" s="451"/>
      <c r="O117" s="451"/>
      <c r="P117" s="451"/>
      <c r="Q117" s="451"/>
      <c r="R117" s="451"/>
      <c r="S117" s="451"/>
      <c r="T117" s="451"/>
      <c r="U117" s="451"/>
      <c r="V117" s="451"/>
      <c r="W117" s="451"/>
      <c r="X117" s="451"/>
      <c r="Y117" s="451"/>
      <c r="Z117" s="451"/>
      <c r="AA117" s="451"/>
      <c r="AB117" s="451"/>
    </row>
    <row r="118" spans="1:28">
      <c r="B118" s="490"/>
      <c r="C118" s="490"/>
      <c r="D118" s="638"/>
      <c r="E118" s="638"/>
      <c r="F118" s="638"/>
      <c r="G118" s="638"/>
      <c r="H118" s="490"/>
      <c r="I118" s="490"/>
      <c r="J118" s="640"/>
      <c r="K118" s="490"/>
      <c r="L118" s="490"/>
      <c r="M118" s="490"/>
      <c r="N118" s="490"/>
      <c r="O118" s="490"/>
      <c r="P118" s="490"/>
      <c r="Q118" s="490"/>
      <c r="R118" s="490"/>
      <c r="S118" s="490"/>
      <c r="T118" s="490"/>
      <c r="U118" s="490"/>
      <c r="V118" s="490"/>
      <c r="W118" s="490"/>
      <c r="X118" s="490"/>
      <c r="Y118" s="490"/>
      <c r="Z118" s="490"/>
      <c r="AA118" s="490"/>
      <c r="AB118" s="490"/>
    </row>
    <row r="119" spans="1:28">
      <c r="B119" s="490"/>
      <c r="C119" s="490"/>
      <c r="D119" s="639"/>
      <c r="E119" s="639"/>
      <c r="F119" s="639"/>
      <c r="G119" s="639"/>
      <c r="H119" s="490"/>
      <c r="I119" s="490"/>
      <c r="J119" s="490"/>
      <c r="K119" s="490"/>
      <c r="L119" s="490"/>
      <c r="M119" s="490"/>
      <c r="N119" s="490"/>
      <c r="O119" s="490"/>
      <c r="P119" s="490"/>
      <c r="Q119" s="490"/>
      <c r="R119" s="490"/>
      <c r="S119" s="490"/>
      <c r="T119" s="490"/>
      <c r="U119" s="490"/>
      <c r="V119" s="490"/>
      <c r="W119" s="490"/>
      <c r="X119" s="490"/>
      <c r="Y119" s="490"/>
      <c r="Z119" s="490"/>
      <c r="AA119" s="490"/>
      <c r="AB119" s="490"/>
    </row>
    <row r="120" spans="1:28">
      <c r="B120" s="490"/>
      <c r="C120" s="490"/>
      <c r="D120" s="639"/>
      <c r="E120" s="639"/>
      <c r="F120" s="639"/>
      <c r="G120" s="639"/>
      <c r="H120" s="490"/>
      <c r="I120" s="490"/>
      <c r="J120" s="490"/>
      <c r="K120" s="490"/>
      <c r="L120" s="490"/>
      <c r="M120" s="490"/>
      <c r="N120" s="490"/>
      <c r="O120" s="490"/>
      <c r="P120" s="490"/>
      <c r="Q120" s="490"/>
      <c r="R120" s="490"/>
      <c r="S120" s="490"/>
      <c r="T120" s="490"/>
      <c r="U120" s="490"/>
      <c r="V120" s="490"/>
      <c r="W120" s="490"/>
      <c r="X120" s="490"/>
      <c r="Y120" s="490"/>
      <c r="Z120" s="490"/>
      <c r="AA120" s="490"/>
      <c r="AB120" s="490"/>
    </row>
    <row r="121" spans="1:28">
      <c r="B121" s="490"/>
      <c r="C121" s="490"/>
      <c r="D121" s="639"/>
      <c r="E121" s="639"/>
      <c r="F121" s="639"/>
      <c r="G121" s="639"/>
      <c r="H121" s="490"/>
      <c r="I121" s="490"/>
      <c r="J121" s="490"/>
      <c r="K121" s="490"/>
      <c r="L121" s="490"/>
      <c r="M121" s="490"/>
      <c r="N121" s="490"/>
      <c r="O121" s="490"/>
      <c r="P121" s="490"/>
      <c r="Q121" s="490"/>
      <c r="R121" s="490"/>
      <c r="S121" s="490"/>
      <c r="T121" s="490"/>
      <c r="U121" s="490"/>
      <c r="V121" s="490"/>
      <c r="W121" s="490"/>
      <c r="X121" s="490"/>
      <c r="Y121" s="490"/>
      <c r="Z121" s="490"/>
      <c r="AA121" s="490"/>
      <c r="AB121" s="490"/>
    </row>
    <row r="122" spans="1:28">
      <c r="B122" s="490"/>
      <c r="C122" s="490"/>
      <c r="D122" s="639"/>
      <c r="E122" s="639"/>
      <c r="F122" s="639"/>
      <c r="G122" s="639"/>
      <c r="H122" s="490"/>
      <c r="I122" s="490"/>
      <c r="J122" s="490"/>
      <c r="K122" s="490"/>
      <c r="L122" s="490"/>
      <c r="M122" s="490"/>
      <c r="N122" s="490"/>
      <c r="O122" s="490"/>
      <c r="P122" s="490"/>
      <c r="Q122" s="490"/>
      <c r="R122" s="490"/>
      <c r="S122" s="490"/>
      <c r="T122" s="490"/>
      <c r="U122" s="490"/>
      <c r="V122" s="490"/>
      <c r="W122" s="490"/>
      <c r="X122" s="490"/>
      <c r="Y122" s="490"/>
      <c r="Z122" s="490"/>
      <c r="AA122" s="490"/>
      <c r="AB122" s="490"/>
    </row>
    <row r="123" spans="1:28">
      <c r="B123" s="490"/>
      <c r="C123" s="490"/>
      <c r="D123" s="639"/>
      <c r="E123" s="639"/>
      <c r="F123" s="639"/>
      <c r="G123" s="639"/>
      <c r="H123" s="490"/>
      <c r="I123" s="490"/>
      <c r="J123" s="490"/>
      <c r="K123" s="490"/>
      <c r="L123" s="490"/>
      <c r="M123" s="490"/>
      <c r="N123" s="490"/>
      <c r="O123" s="490"/>
      <c r="P123" s="490"/>
      <c r="Q123" s="490"/>
      <c r="R123" s="490"/>
      <c r="S123" s="490"/>
      <c r="T123" s="490"/>
      <c r="U123" s="490"/>
      <c r="V123" s="490"/>
      <c r="W123" s="490"/>
      <c r="X123" s="490"/>
      <c r="Y123" s="490"/>
      <c r="Z123" s="490"/>
      <c r="AA123" s="490"/>
      <c r="AB123" s="490"/>
    </row>
    <row r="124" spans="1:28">
      <c r="B124" s="490"/>
      <c r="C124" s="490"/>
      <c r="D124" s="639"/>
      <c r="E124" s="639"/>
      <c r="F124" s="639"/>
      <c r="G124" s="639"/>
      <c r="H124" s="490"/>
      <c r="I124" s="490"/>
      <c r="J124" s="490"/>
      <c r="K124" s="490"/>
      <c r="L124" s="490"/>
      <c r="M124" s="490"/>
      <c r="N124" s="490"/>
      <c r="O124" s="490"/>
      <c r="P124" s="490"/>
      <c r="Q124" s="490"/>
      <c r="R124" s="490"/>
      <c r="S124" s="490"/>
      <c r="T124" s="490"/>
      <c r="U124" s="490"/>
      <c r="V124" s="490"/>
      <c r="W124" s="490"/>
      <c r="X124" s="490"/>
      <c r="Y124" s="490"/>
      <c r="Z124" s="490"/>
      <c r="AA124" s="490"/>
      <c r="AB124" s="490"/>
    </row>
    <row r="125" spans="1:28">
      <c r="B125" s="490"/>
      <c r="C125" s="490"/>
      <c r="D125" s="639"/>
      <c r="E125" s="639"/>
      <c r="F125" s="639"/>
      <c r="G125" s="639"/>
      <c r="H125" s="490"/>
      <c r="I125" s="490"/>
      <c r="J125" s="490"/>
      <c r="K125" s="490"/>
      <c r="L125" s="490"/>
      <c r="M125" s="490"/>
      <c r="N125" s="490"/>
      <c r="O125" s="490"/>
      <c r="P125" s="490"/>
      <c r="Q125" s="490"/>
      <c r="R125" s="490"/>
      <c r="S125" s="490"/>
      <c r="T125" s="490"/>
      <c r="U125" s="490"/>
      <c r="V125" s="490"/>
      <c r="W125" s="490"/>
      <c r="X125" s="490"/>
      <c r="Y125" s="490"/>
      <c r="Z125" s="490"/>
      <c r="AA125" s="490"/>
      <c r="AB125" s="490"/>
    </row>
    <row r="126" spans="1:28">
      <c r="B126" s="490"/>
      <c r="C126" s="490"/>
      <c r="D126" s="490"/>
      <c r="E126" s="490"/>
      <c r="F126" s="490"/>
      <c r="G126" s="490"/>
      <c r="H126" s="490"/>
      <c r="I126" s="490"/>
      <c r="J126" s="490"/>
      <c r="K126" s="490"/>
      <c r="L126" s="490"/>
      <c r="M126" s="490"/>
      <c r="N126" s="490"/>
      <c r="O126" s="490"/>
      <c r="P126" s="490"/>
      <c r="Q126" s="490"/>
      <c r="R126" s="490"/>
      <c r="S126" s="490"/>
      <c r="T126" s="490"/>
      <c r="U126" s="490"/>
      <c r="V126" s="490"/>
      <c r="W126" s="490"/>
      <c r="X126" s="490"/>
      <c r="Y126" s="490"/>
      <c r="Z126" s="490"/>
      <c r="AA126" s="490"/>
      <c r="AB126" s="490"/>
    </row>
    <row r="127" spans="1:28">
      <c r="B127" s="490"/>
      <c r="C127" s="490"/>
      <c r="D127" s="490"/>
      <c r="E127" s="490"/>
      <c r="F127" s="490"/>
      <c r="G127" s="490"/>
      <c r="H127" s="490"/>
      <c r="I127" s="490"/>
      <c r="J127" s="490"/>
      <c r="K127" s="490"/>
      <c r="L127" s="490"/>
      <c r="M127" s="490"/>
      <c r="N127" s="490"/>
      <c r="O127" s="490"/>
      <c r="P127" s="490"/>
      <c r="Q127" s="490"/>
      <c r="R127" s="490"/>
      <c r="S127" s="490"/>
      <c r="T127" s="490"/>
      <c r="U127" s="490"/>
      <c r="V127" s="490"/>
      <c r="W127" s="490"/>
      <c r="X127" s="490"/>
      <c r="Y127" s="490"/>
      <c r="Z127" s="490"/>
      <c r="AA127" s="490"/>
      <c r="AB127" s="490"/>
    </row>
    <row r="128" spans="1:28">
      <c r="B128" s="490"/>
      <c r="C128" s="490"/>
      <c r="D128" s="490"/>
      <c r="E128" s="490"/>
      <c r="F128" s="490"/>
      <c r="G128" s="490"/>
      <c r="H128" s="490"/>
      <c r="I128" s="490"/>
      <c r="J128" s="490"/>
      <c r="K128" s="490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0"/>
      <c r="AA128" s="490"/>
      <c r="AB128" s="490"/>
    </row>
    <row r="129" spans="2:28">
      <c r="B129" s="490"/>
      <c r="C129" s="490"/>
      <c r="D129" s="490"/>
      <c r="E129" s="490"/>
      <c r="F129" s="490"/>
      <c r="G129" s="490"/>
      <c r="H129" s="490"/>
      <c r="I129" s="490"/>
      <c r="J129" s="490"/>
      <c r="K129" s="490"/>
      <c r="L129" s="490"/>
      <c r="M129" s="490"/>
      <c r="N129" s="490"/>
      <c r="O129" s="490"/>
      <c r="P129" s="490"/>
      <c r="Q129" s="490"/>
      <c r="R129" s="490"/>
      <c r="S129" s="490"/>
      <c r="T129" s="490"/>
      <c r="U129" s="490"/>
      <c r="V129" s="490"/>
      <c r="W129" s="490"/>
      <c r="X129" s="490"/>
      <c r="Y129" s="490"/>
      <c r="Z129" s="490"/>
      <c r="AA129" s="490"/>
      <c r="AB129" s="490"/>
    </row>
    <row r="131" spans="2:28">
      <c r="B131" s="490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Q66"/>
  <sheetViews>
    <sheetView zoomScale="80" zoomScaleNormal="80"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P23" sqref="P23"/>
    </sheetView>
  </sheetViews>
  <sheetFormatPr baseColWidth="10" defaultColWidth="8.83203125" defaultRowHeight="16"/>
  <cols>
    <col min="1" max="1" width="39.33203125" style="1" customWidth="1"/>
    <col min="2" max="2" width="5.33203125" style="1" bestFit="1" customWidth="1"/>
    <col min="3" max="3" width="5.83203125" style="1" bestFit="1" customWidth="1"/>
    <col min="4" max="4" width="6.1640625" style="1" bestFit="1" customWidth="1"/>
    <col min="5" max="5" width="8.33203125" style="1" bestFit="1" customWidth="1"/>
    <col min="6" max="6" width="6" style="1" bestFit="1" customWidth="1"/>
    <col min="7" max="7" width="5.33203125" style="1" bestFit="1" customWidth="1"/>
    <col min="8" max="8" width="5.83203125" style="1" customWidth="1"/>
    <col min="9" max="9" width="5.33203125" style="1" bestFit="1" customWidth="1"/>
    <col min="10" max="10" width="5.5" style="1" bestFit="1" customWidth="1"/>
    <col min="11" max="11" width="5.1640625" style="1" bestFit="1" customWidth="1"/>
    <col min="12" max="12" width="6" style="1" bestFit="1" customWidth="1"/>
    <col min="13" max="13" width="6" style="1" customWidth="1"/>
    <col min="14" max="14" width="6" style="1" bestFit="1" customWidth="1"/>
    <col min="15" max="15" width="7.33203125" style="1" customWidth="1"/>
    <col min="16" max="16" width="8.5" style="1" customWidth="1"/>
    <col min="17" max="17" width="9.33203125" style="1" bestFit="1" customWidth="1"/>
    <col min="18" max="18" width="8.33203125" style="1" bestFit="1" customWidth="1"/>
    <col min="19" max="19" width="7.33203125" style="1" customWidth="1"/>
    <col min="20" max="22" width="7.33203125" style="1" bestFit="1" customWidth="1"/>
    <col min="23" max="23" width="6" style="1" customWidth="1"/>
    <col min="24" max="24" width="6.83203125" style="1" bestFit="1" customWidth="1"/>
    <col min="25" max="28" width="7.33203125" style="1" bestFit="1" customWidth="1"/>
    <col min="29" max="29" width="6.5" style="1" customWidth="1"/>
    <col min="30" max="30" width="6.83203125" style="1" bestFit="1" customWidth="1"/>
    <col min="31" max="31" width="4.33203125" style="1" bestFit="1" customWidth="1"/>
    <col min="32" max="32" width="4.83203125" style="1" customWidth="1"/>
    <col min="33" max="33" width="7.5" style="1" customWidth="1"/>
    <col min="34" max="34" width="6.5" style="1" customWidth="1"/>
    <col min="35" max="35" width="6" style="1" bestFit="1" customWidth="1"/>
    <col min="36" max="38" width="5.6640625" style="1" customWidth="1"/>
    <col min="39" max="16384" width="8.83203125" style="1"/>
  </cols>
  <sheetData>
    <row r="1" spans="1:36" s="58" customFormat="1">
      <c r="A1" s="57" t="s">
        <v>168</v>
      </c>
      <c r="B1" s="57"/>
      <c r="E1" s="238">
        <f>E5*2</f>
        <v>3955.6179392677877</v>
      </c>
      <c r="H1" s="56" t="s">
        <v>161</v>
      </c>
      <c r="AH1" s="1"/>
    </row>
    <row r="2" spans="1:36" s="58" customFormat="1" ht="17" thickBot="1">
      <c r="A2" s="55" t="s">
        <v>188</v>
      </c>
      <c r="E2" s="238">
        <f>E35*2</f>
        <v>3055.5351159629249</v>
      </c>
      <c r="H2" s="56" t="s">
        <v>232</v>
      </c>
      <c r="AH2" s="1"/>
    </row>
    <row r="3" spans="1:36" s="58" customFormat="1" ht="16.25" customHeight="1" thickBot="1">
      <c r="A3" s="504"/>
      <c r="B3" s="682" t="s">
        <v>68</v>
      </c>
      <c r="C3" s="683"/>
      <c r="D3" s="683"/>
      <c r="E3" s="683"/>
      <c r="F3" s="683"/>
      <c r="G3" s="682" t="s">
        <v>69</v>
      </c>
      <c r="H3" s="683"/>
      <c r="I3" s="683"/>
      <c r="J3" s="683"/>
      <c r="K3" s="683"/>
      <c r="L3" s="683"/>
      <c r="M3" s="683"/>
      <c r="N3" s="684"/>
      <c r="O3" s="679" t="s">
        <v>74</v>
      </c>
      <c r="P3" s="680"/>
      <c r="Q3" s="680"/>
      <c r="R3" s="680"/>
      <c r="S3" s="681"/>
      <c r="T3" s="679" t="s">
        <v>75</v>
      </c>
      <c r="U3" s="680"/>
      <c r="V3" s="680"/>
      <c r="W3" s="680"/>
      <c r="X3" s="681"/>
      <c r="Y3" s="683" t="s">
        <v>70</v>
      </c>
      <c r="Z3" s="683"/>
      <c r="AA3" s="683"/>
      <c r="AB3" s="683"/>
      <c r="AC3" s="684"/>
      <c r="AJ3" s="1"/>
    </row>
    <row r="4" spans="1:36" s="58" customFormat="1" ht="17" thickBot="1">
      <c r="A4" s="505"/>
      <c r="B4" s="583" t="s">
        <v>52</v>
      </c>
      <c r="C4" s="583" t="s">
        <v>53</v>
      </c>
      <c r="D4" s="583" t="s">
        <v>54</v>
      </c>
      <c r="E4" s="588" t="s">
        <v>160</v>
      </c>
      <c r="F4" s="65" t="s">
        <v>51</v>
      </c>
      <c r="G4" s="583" t="s">
        <v>52</v>
      </c>
      <c r="H4" s="583" t="s">
        <v>53</v>
      </c>
      <c r="I4" s="583" t="s">
        <v>54</v>
      </c>
      <c r="J4" s="588" t="s">
        <v>160</v>
      </c>
      <c r="K4" s="583" t="s">
        <v>72</v>
      </c>
      <c r="L4" s="583" t="s">
        <v>73</v>
      </c>
      <c r="M4" s="646" t="s">
        <v>231</v>
      </c>
      <c r="N4" s="588" t="s">
        <v>51</v>
      </c>
      <c r="O4" s="583" t="s">
        <v>52</v>
      </c>
      <c r="P4" s="583" t="s">
        <v>53</v>
      </c>
      <c r="Q4" s="583" t="s">
        <v>54</v>
      </c>
      <c r="R4" s="588" t="s">
        <v>160</v>
      </c>
      <c r="S4" s="583" t="s">
        <v>51</v>
      </c>
      <c r="T4" s="583" t="s">
        <v>52</v>
      </c>
      <c r="U4" s="583" t="s">
        <v>53</v>
      </c>
      <c r="V4" s="583" t="s">
        <v>54</v>
      </c>
      <c r="W4" s="588" t="s">
        <v>160</v>
      </c>
      <c r="X4" s="583" t="s">
        <v>51</v>
      </c>
      <c r="Y4" s="63" t="s">
        <v>52</v>
      </c>
      <c r="Z4" s="583" t="s">
        <v>53</v>
      </c>
      <c r="AA4" s="583" t="s">
        <v>54</v>
      </c>
      <c r="AB4" s="588" t="s">
        <v>160</v>
      </c>
      <c r="AC4" s="583" t="s">
        <v>51</v>
      </c>
      <c r="AF4" s="41" t="s">
        <v>165</v>
      </c>
    </row>
    <row r="5" spans="1:36">
      <c r="A5" s="342" t="s">
        <v>240</v>
      </c>
      <c r="B5" s="578">
        <v>777.71486816328286</v>
      </c>
      <c r="C5" s="579">
        <v>1098.9965669557278</v>
      </c>
      <c r="D5" s="579">
        <v>101.09753451488311</v>
      </c>
      <c r="E5" s="579">
        <v>1977.8089696338939</v>
      </c>
      <c r="F5" s="580">
        <v>4272.2781756947679</v>
      </c>
      <c r="G5" s="579">
        <v>777.71486816328286</v>
      </c>
      <c r="H5" s="579">
        <v>1098.9965669557282</v>
      </c>
      <c r="I5" s="579">
        <v>101.09753451488312</v>
      </c>
      <c r="J5" s="579">
        <v>1977.8089696338943</v>
      </c>
      <c r="K5" s="579">
        <v>220.34650318741575</v>
      </c>
      <c r="L5" s="579">
        <v>13413.68209140515</v>
      </c>
      <c r="M5" s="579">
        <v>6125.8798757512459</v>
      </c>
      <c r="N5" s="580">
        <v>13634.028594592566</v>
      </c>
      <c r="O5" s="579"/>
      <c r="P5" s="579"/>
      <c r="Q5" s="579">
        <v>7.0000000000000001E-3</v>
      </c>
      <c r="R5" s="579">
        <v>2.1000000000000001E-2</v>
      </c>
      <c r="S5" s="580"/>
      <c r="T5" s="579"/>
      <c r="U5" s="579"/>
      <c r="V5" s="579"/>
      <c r="W5" s="591"/>
      <c r="X5" s="580">
        <v>9361.7434188977968</v>
      </c>
      <c r="Y5" s="579">
        <v>83873.806859452685</v>
      </c>
      <c r="Z5" s="579">
        <v>83451.279891348648</v>
      </c>
      <c r="AA5" s="579">
        <v>85821.761016041899</v>
      </c>
      <c r="AB5" s="579">
        <v>83738.595456875773</v>
      </c>
      <c r="AC5" s="580">
        <v>7400.8825586847297</v>
      </c>
      <c r="AD5" s="58"/>
      <c r="AE5" s="58"/>
      <c r="AF5" s="58" t="s">
        <v>219</v>
      </c>
      <c r="AG5" s="58"/>
      <c r="AH5" s="58"/>
      <c r="AI5" s="58"/>
    </row>
    <row r="6" spans="1:36">
      <c r="A6" s="342" t="s">
        <v>235</v>
      </c>
      <c r="B6" s="389">
        <v>932.54743291140869</v>
      </c>
      <c r="C6" s="436">
        <v>1534.4107120577901</v>
      </c>
      <c r="D6" s="436">
        <v>155.72134095532334</v>
      </c>
      <c r="E6" s="436">
        <v>2622.6794859245219</v>
      </c>
      <c r="F6" s="435">
        <v>5573.6790683270428</v>
      </c>
      <c r="G6" s="436">
        <v>932.54743291140903</v>
      </c>
      <c r="H6" s="436">
        <v>1534.4107120577896</v>
      </c>
      <c r="I6" s="436">
        <v>155.7213409553234</v>
      </c>
      <c r="J6" s="436">
        <v>2622.6794859245219</v>
      </c>
      <c r="K6" s="436">
        <v>251.48461990766447</v>
      </c>
      <c r="L6" s="436">
        <v>18499.659618849393</v>
      </c>
      <c r="M6" s="436">
        <v>8260.514366990923</v>
      </c>
      <c r="N6" s="435">
        <v>18751.144238757057</v>
      </c>
      <c r="O6" s="436"/>
      <c r="P6" s="436"/>
      <c r="Q6" s="436">
        <v>7.0000000000000001E-3</v>
      </c>
      <c r="R6" s="436">
        <v>2.1000000000000001E-2</v>
      </c>
      <c r="S6" s="435"/>
      <c r="T6" s="436"/>
      <c r="U6" s="436"/>
      <c r="V6" s="436"/>
      <c r="W6" s="437"/>
      <c r="X6" s="435">
        <v>13177.458170430011</v>
      </c>
      <c r="Y6" s="436">
        <v>115313.4235140845</v>
      </c>
      <c r="Z6" s="436">
        <v>95940.554967057309</v>
      </c>
      <c r="AA6" s="436">
        <v>93222.746699893571</v>
      </c>
      <c r="AB6" s="436">
        <v>102667.60574795702</v>
      </c>
      <c r="AC6" s="435">
        <v>8940.8079897800762</v>
      </c>
      <c r="AD6" s="58"/>
      <c r="AE6" s="58"/>
      <c r="AF6" s="58" t="s">
        <v>220</v>
      </c>
      <c r="AG6" s="58"/>
      <c r="AH6" s="58"/>
      <c r="AI6" s="58"/>
    </row>
    <row r="7" spans="1:36">
      <c r="A7" s="342" t="s">
        <v>229</v>
      </c>
      <c r="B7" s="389">
        <v>1083.8200485320133</v>
      </c>
      <c r="C7" s="436">
        <v>2349.3303035735389</v>
      </c>
      <c r="D7" s="436">
        <v>310.85035835319172</v>
      </c>
      <c r="E7" s="436">
        <v>3744.0007104587439</v>
      </c>
      <c r="F7" s="435">
        <v>7829.1372476328843</v>
      </c>
      <c r="G7" s="436">
        <v>1083.8200485320135</v>
      </c>
      <c r="H7" s="436">
        <v>2349.3303035735385</v>
      </c>
      <c r="I7" s="436">
        <v>248.27409356037168</v>
      </c>
      <c r="J7" s="436">
        <v>3681.4244456659235</v>
      </c>
      <c r="K7" s="436">
        <v>275.32069013219211</v>
      </c>
      <c r="L7" s="436">
        <v>26134.477552957058</v>
      </c>
      <c r="M7" s="436">
        <v>12147.232208262241</v>
      </c>
      <c r="N7" s="435">
        <v>26409.798243089252</v>
      </c>
      <c r="O7" s="436"/>
      <c r="P7" s="436"/>
      <c r="Q7" s="436">
        <v>62.583264792820017</v>
      </c>
      <c r="R7" s="436">
        <v>62.59726479282002</v>
      </c>
      <c r="S7" s="435"/>
      <c r="T7" s="436"/>
      <c r="U7" s="436"/>
      <c r="V7" s="436"/>
      <c r="W7" s="437"/>
      <c r="X7" s="435">
        <v>18580.653995456367</v>
      </c>
      <c r="Y7" s="436">
        <v>141917.23710263224</v>
      </c>
      <c r="Z7" s="436">
        <v>90931.497878484719</v>
      </c>
      <c r="AA7" s="436">
        <v>88509.680067217108</v>
      </c>
      <c r="AB7" s="436">
        <v>105778.49325899384</v>
      </c>
      <c r="AC7" s="435">
        <v>10152.34610358232</v>
      </c>
      <c r="AD7" s="58"/>
      <c r="AE7" s="58"/>
      <c r="AF7" s="58" t="s">
        <v>221</v>
      </c>
      <c r="AG7" s="58"/>
      <c r="AH7" s="58"/>
      <c r="AI7" s="58"/>
    </row>
    <row r="8" spans="1:36">
      <c r="A8" s="342" t="s">
        <v>261</v>
      </c>
      <c r="B8" s="389">
        <v>853.35966355828293</v>
      </c>
      <c r="C8" s="436">
        <v>1289.4790909238566</v>
      </c>
      <c r="D8" s="436">
        <v>124.31095178760195</v>
      </c>
      <c r="E8" s="436">
        <v>2267.1497062697413</v>
      </c>
      <c r="F8" s="435">
        <v>4849.0445636723334</v>
      </c>
      <c r="G8" s="436">
        <v>853.35966355828293</v>
      </c>
      <c r="H8" s="436">
        <v>1289.4790909238563</v>
      </c>
      <c r="I8" s="436">
        <v>124.31095178760198</v>
      </c>
      <c r="J8" s="436">
        <v>2267.1497062697413</v>
      </c>
      <c r="K8" s="436">
        <v>236.32957550408631</v>
      </c>
      <c r="L8" s="436">
        <v>15808.30462284283</v>
      </c>
      <c r="M8" s="436">
        <v>7075.0836912461673</v>
      </c>
      <c r="N8" s="435">
        <v>16044.634198346917</v>
      </c>
      <c r="O8" s="436"/>
      <c r="P8" s="436"/>
      <c r="Q8" s="436">
        <v>7.0000000000000001E-3</v>
      </c>
      <c r="R8" s="436">
        <v>2.0999999999999998E-2</v>
      </c>
      <c r="S8" s="435"/>
      <c r="T8" s="436"/>
      <c r="U8" s="436"/>
      <c r="V8" s="436"/>
      <c r="W8" s="437"/>
      <c r="X8" s="435">
        <v>11195.582634674583</v>
      </c>
      <c r="Y8" s="436">
        <v>99218.999015284193</v>
      </c>
      <c r="Z8" s="436">
        <v>91301.000851931123</v>
      </c>
      <c r="AA8" s="436">
        <v>91634.531509140637</v>
      </c>
      <c r="AB8" s="436">
        <v>94222.189695630324</v>
      </c>
      <c r="AC8" s="435">
        <v>8147.2458019741989</v>
      </c>
      <c r="AD8" s="58"/>
      <c r="AE8" s="58"/>
      <c r="AF8" s="55" t="s">
        <v>222</v>
      </c>
      <c r="AG8" s="58"/>
      <c r="AH8" s="58"/>
      <c r="AI8" s="58"/>
    </row>
    <row r="9" spans="1:36">
      <c r="A9" s="342" t="s">
        <v>262</v>
      </c>
      <c r="B9" s="389">
        <v>1006.6330752229355</v>
      </c>
      <c r="C9" s="436">
        <v>1901.6407057324743</v>
      </c>
      <c r="D9" s="436">
        <v>218.97099055452341</v>
      </c>
      <c r="E9" s="436">
        <v>3127.2447715099333</v>
      </c>
      <c r="F9" s="435">
        <v>6594.5905436562307</v>
      </c>
      <c r="G9" s="436">
        <v>1006.6330752229356</v>
      </c>
      <c r="H9" s="436">
        <v>1901.6407057324743</v>
      </c>
      <c r="I9" s="436">
        <v>200.49296526157909</v>
      </c>
      <c r="J9" s="436">
        <v>3108.7667462169888</v>
      </c>
      <c r="K9" s="436">
        <v>262.72047108722808</v>
      </c>
      <c r="L9" s="436">
        <v>21928.379190857628</v>
      </c>
      <c r="M9" s="436">
        <v>9999.3962351189311</v>
      </c>
      <c r="N9" s="435">
        <v>22191.099661944856</v>
      </c>
      <c r="O9" s="436"/>
      <c r="P9" s="436"/>
      <c r="Q9" s="436">
        <v>18.485025292944361</v>
      </c>
      <c r="R9" s="436">
        <v>18.499025292944363</v>
      </c>
      <c r="S9" s="435"/>
      <c r="T9" s="436"/>
      <c r="U9" s="436"/>
      <c r="V9" s="436"/>
      <c r="W9" s="437"/>
      <c r="X9" s="435">
        <v>15596.502118288625</v>
      </c>
      <c r="Y9" s="436">
        <v>129822.24355860869</v>
      </c>
      <c r="Z9" s="436">
        <v>93584.943492792023</v>
      </c>
      <c r="AA9" s="436">
        <v>90071.902645111302</v>
      </c>
      <c r="AB9" s="436">
        <v>104941.30455785776</v>
      </c>
      <c r="AC9" s="435">
        <v>9620.5650984565782</v>
      </c>
      <c r="AD9" s="58"/>
      <c r="AE9" s="58"/>
      <c r="AF9" s="55" t="s">
        <v>223</v>
      </c>
      <c r="AG9" s="58"/>
      <c r="AH9" s="58"/>
      <c r="AI9" s="58"/>
    </row>
    <row r="10" spans="1:36">
      <c r="A10" s="342" t="s">
        <v>241</v>
      </c>
      <c r="B10" s="584">
        <f>(B6/B$5)^(1/6)*100-100</f>
        <v>3.0722496065552036</v>
      </c>
      <c r="C10" s="586">
        <f t="shared" ref="C10:N10" si="0">(C6/C$5)^(1/6)*100-100</f>
        <v>5.7200957167347894</v>
      </c>
      <c r="D10" s="586">
        <f t="shared" si="0"/>
        <v>7.4652190832348708</v>
      </c>
      <c r="E10" s="600">
        <f>(E6/E$5)^(1/6)*100-100</f>
        <v>4.8158143484772182</v>
      </c>
      <c r="F10" s="589">
        <f t="shared" si="0"/>
        <v>4.5314735688323822</v>
      </c>
      <c r="G10" s="586">
        <f t="shared" si="0"/>
        <v>3.0722496065552036</v>
      </c>
      <c r="H10" s="586">
        <f t="shared" si="0"/>
        <v>5.7200957167347752</v>
      </c>
      <c r="I10" s="586">
        <f t="shared" si="0"/>
        <v>7.4652190832348708</v>
      </c>
      <c r="J10" s="586">
        <f t="shared" si="0"/>
        <v>4.815814348477204</v>
      </c>
      <c r="K10" s="586">
        <f t="shared" si="0"/>
        <v>2.2274539548796497</v>
      </c>
      <c r="L10" s="586">
        <f t="shared" si="0"/>
        <v>5.5040880939580745</v>
      </c>
      <c r="M10" s="586">
        <f t="shared" si="0"/>
        <v>5.1089672861196505</v>
      </c>
      <c r="N10" s="589">
        <f t="shared" si="0"/>
        <v>5.4550209589340142</v>
      </c>
      <c r="O10" s="376"/>
      <c r="P10" s="376"/>
      <c r="Q10" s="436">
        <f>(Q6/Q$5)^(1/6)*100-100</f>
        <v>0</v>
      </c>
      <c r="R10" s="436">
        <f>(R6/R$5)^(1/6)*100-100</f>
        <v>0</v>
      </c>
      <c r="S10" s="641"/>
      <c r="T10" s="376"/>
      <c r="U10" s="376"/>
      <c r="V10" s="175"/>
      <c r="W10" s="175"/>
      <c r="X10" s="589">
        <f t="shared" ref="X10:AC10" si="1">(X6/X$5)^(1/6)*100-100</f>
        <v>5.8633952832892788</v>
      </c>
      <c r="Y10" s="586">
        <f t="shared" si="1"/>
        <v>5.4489480959563679</v>
      </c>
      <c r="Z10" s="586">
        <f t="shared" si="1"/>
        <v>2.3516552969034592</v>
      </c>
      <c r="AA10" s="586">
        <f t="shared" si="1"/>
        <v>1.388199838659915</v>
      </c>
      <c r="AB10" s="586">
        <f t="shared" si="1"/>
        <v>3.4549544107749028</v>
      </c>
      <c r="AC10" s="589">
        <f t="shared" si="1"/>
        <v>3.200596912753582</v>
      </c>
      <c r="AD10" s="58"/>
      <c r="AE10" s="58"/>
      <c r="AF10" s="58"/>
      <c r="AG10" s="58"/>
      <c r="AH10" s="58"/>
      <c r="AI10" s="58"/>
    </row>
    <row r="11" spans="1:36">
      <c r="A11" s="342" t="s">
        <v>238</v>
      </c>
      <c r="B11" s="584">
        <f>(B7/B$6)^(1/5)*100-100</f>
        <v>3.0521957709652554</v>
      </c>
      <c r="C11" s="586">
        <f t="shared" ref="C11:N11" si="2">(C7/C$6)^(1/5)*100-100</f>
        <v>8.8931326383016653</v>
      </c>
      <c r="D11" s="586">
        <f t="shared" si="2"/>
        <v>14.82610871844318</v>
      </c>
      <c r="E11" s="600">
        <f t="shared" si="2"/>
        <v>7.3786997139149548</v>
      </c>
      <c r="F11" s="589">
        <f t="shared" si="2"/>
        <v>7.0321845591409868</v>
      </c>
      <c r="G11" s="586">
        <f t="shared" si="2"/>
        <v>3.0521957709652554</v>
      </c>
      <c r="H11" s="586">
        <f t="shared" si="2"/>
        <v>8.8931326383016653</v>
      </c>
      <c r="I11" s="586">
        <f t="shared" si="2"/>
        <v>9.7783386489397515</v>
      </c>
      <c r="J11" s="586">
        <f t="shared" si="2"/>
        <v>7.0173356786254999</v>
      </c>
      <c r="K11" s="586">
        <f t="shared" si="2"/>
        <v>1.8275943757871715</v>
      </c>
      <c r="L11" s="586">
        <f t="shared" si="2"/>
        <v>7.1544020064169871</v>
      </c>
      <c r="M11" s="586">
        <f t="shared" si="2"/>
        <v>8.0174818354956443</v>
      </c>
      <c r="N11" s="589">
        <f t="shared" si="2"/>
        <v>7.089640780507537</v>
      </c>
      <c r="O11" s="569" t="s">
        <v>76</v>
      </c>
      <c r="P11" s="569" t="s">
        <v>76</v>
      </c>
      <c r="Q11" s="569" t="s">
        <v>76</v>
      </c>
      <c r="R11" s="569" t="s">
        <v>76</v>
      </c>
      <c r="S11" s="642" t="s">
        <v>76</v>
      </c>
      <c r="T11" s="572" t="s">
        <v>76</v>
      </c>
      <c r="U11" s="572" t="s">
        <v>76</v>
      </c>
      <c r="V11" s="572" t="s">
        <v>76</v>
      </c>
      <c r="W11" s="572" t="s">
        <v>76</v>
      </c>
      <c r="X11" s="589">
        <f t="shared" ref="X11:AC11" si="3">(X7/X$6)^(1/5)*100-100</f>
        <v>7.1139093141453316</v>
      </c>
      <c r="Y11" s="586">
        <f t="shared" si="3"/>
        <v>4.2391967972159819</v>
      </c>
      <c r="Z11" s="586">
        <f t="shared" si="3"/>
        <v>-1.0667163566681239</v>
      </c>
      <c r="AA11" s="586">
        <f t="shared" si="3"/>
        <v>-1.0322321342334391</v>
      </c>
      <c r="AB11" s="586">
        <f t="shared" si="3"/>
        <v>0.59879727158245544</v>
      </c>
      <c r="AC11" s="589">
        <f t="shared" si="3"/>
        <v>2.5741506007872772</v>
      </c>
      <c r="AD11" s="58"/>
      <c r="AE11" s="58"/>
      <c r="AF11" s="58"/>
      <c r="AG11" s="58"/>
      <c r="AH11" s="58"/>
      <c r="AI11" s="58"/>
    </row>
    <row r="12" spans="1:36">
      <c r="A12" s="342" t="s">
        <v>242</v>
      </c>
      <c r="B12" s="584">
        <f>(B41/B$35)^(1/6)*100-100</f>
        <v>4.9404854224474519</v>
      </c>
      <c r="C12" s="586">
        <f t="shared" ref="C12:N12" si="4">(C41/C$35)^(1/6)*100-100</f>
        <v>7.5611813713968985</v>
      </c>
      <c r="D12" s="586">
        <f t="shared" si="4"/>
        <v>6.6703226047645217</v>
      </c>
      <c r="E12" s="599">
        <f t="shared" si="4"/>
        <v>6.6423076887394075</v>
      </c>
      <c r="F12" s="589">
        <f t="shared" si="4"/>
        <v>4.7036685092372466</v>
      </c>
      <c r="G12" s="586">
        <f t="shared" si="4"/>
        <v>4.9404854224474519</v>
      </c>
      <c r="H12" s="586">
        <f t="shared" si="4"/>
        <v>7.5611813713968985</v>
      </c>
      <c r="I12" s="586">
        <f t="shared" si="4"/>
        <v>6.6703226047645217</v>
      </c>
      <c r="J12" s="586">
        <f t="shared" si="4"/>
        <v>6.6423076887394075</v>
      </c>
      <c r="K12" s="586">
        <f t="shared" si="4"/>
        <v>4.4653574158713525</v>
      </c>
      <c r="L12" s="586">
        <f t="shared" si="4"/>
        <v>7.9877145349790624</v>
      </c>
      <c r="M12" s="586">
        <f t="shared" si="4"/>
        <v>6.8726291897825575</v>
      </c>
      <c r="N12" s="589">
        <f t="shared" si="4"/>
        <v>7.9206121238096614</v>
      </c>
      <c r="O12" s="569" t="s">
        <v>76</v>
      </c>
      <c r="P12" s="569" t="s">
        <v>76</v>
      </c>
      <c r="Q12" s="569" t="s">
        <v>76</v>
      </c>
      <c r="R12" s="569" t="s">
        <v>76</v>
      </c>
      <c r="S12" s="642" t="s">
        <v>76</v>
      </c>
      <c r="T12" s="572" t="s">
        <v>76</v>
      </c>
      <c r="U12" s="572" t="s">
        <v>76</v>
      </c>
      <c r="V12" s="572" t="s">
        <v>76</v>
      </c>
      <c r="W12" s="572" t="s">
        <v>76</v>
      </c>
      <c r="X12" s="589">
        <f t="shared" ref="X12:AC12" si="5">(X41/X$35)^(1/6)*100-100</f>
        <v>9.7090376474095166</v>
      </c>
      <c r="Y12" s="586">
        <f t="shared" si="5"/>
        <v>8.2888172194650451</v>
      </c>
      <c r="Z12" s="586">
        <f t="shared" si="5"/>
        <v>5.0875277592816701</v>
      </c>
      <c r="AA12" s="586">
        <f t="shared" si="5"/>
        <v>0.74929983166099134</v>
      </c>
      <c r="AB12" s="586">
        <f t="shared" si="5"/>
        <v>5.8917462570854582</v>
      </c>
      <c r="AC12" s="589">
        <f t="shared" si="5"/>
        <v>3.1998131959901883</v>
      </c>
      <c r="AD12" s="58"/>
      <c r="AE12" s="58"/>
      <c r="AG12" s="58"/>
      <c r="AH12" s="58"/>
      <c r="AI12" s="58"/>
    </row>
    <row r="13" spans="1:36" ht="17" thickBot="1">
      <c r="A13" s="344" t="s">
        <v>239</v>
      </c>
      <c r="B13" s="585">
        <f>(B46/B$41)^(1/5)*100-100</f>
        <v>3.0148005866049061</v>
      </c>
      <c r="C13" s="587">
        <f t="shared" ref="C13:N13" si="6">(C46/C$41)^(1/5)*100-100</f>
        <v>8.885642436733022</v>
      </c>
      <c r="D13" s="587">
        <f t="shared" si="6"/>
        <v>14.031115871971721</v>
      </c>
      <c r="E13" s="628">
        <f t="shared" si="6"/>
        <v>7.6227182371539044</v>
      </c>
      <c r="F13" s="590">
        <f t="shared" si="6"/>
        <v>6.9561274302596416</v>
      </c>
      <c r="G13" s="587">
        <f t="shared" si="6"/>
        <v>3.0148005866049061</v>
      </c>
      <c r="H13" s="587">
        <f t="shared" si="6"/>
        <v>8.8856424367329936</v>
      </c>
      <c r="I13" s="587">
        <f t="shared" si="6"/>
        <v>10.554228483781245</v>
      </c>
      <c r="J13" s="587">
        <f t="shared" si="6"/>
        <v>7.334047075938301</v>
      </c>
      <c r="K13" s="587">
        <f t="shared" si="6"/>
        <v>1.6709078578813319</v>
      </c>
      <c r="L13" s="587">
        <f t="shared" si="6"/>
        <v>7.2206567898184062</v>
      </c>
      <c r="M13" s="587">
        <f t="shared" si="6"/>
        <v>8.2028691442380932</v>
      </c>
      <c r="N13" s="590">
        <f t="shared" si="6"/>
        <v>7.1355877958461775</v>
      </c>
      <c r="O13" s="570" t="s">
        <v>76</v>
      </c>
      <c r="P13" s="570" t="s">
        <v>76</v>
      </c>
      <c r="Q13" s="570" t="s">
        <v>76</v>
      </c>
      <c r="R13" s="570" t="s">
        <v>76</v>
      </c>
      <c r="S13" s="643" t="s">
        <v>76</v>
      </c>
      <c r="T13" s="571" t="s">
        <v>76</v>
      </c>
      <c r="U13" s="571" t="s">
        <v>76</v>
      </c>
      <c r="V13" s="571" t="s">
        <v>76</v>
      </c>
      <c r="W13" s="571" t="s">
        <v>76</v>
      </c>
      <c r="X13" s="590">
        <f t="shared" ref="X13:AC13" si="7">(X46/X$41)^(1/5)*100-100</f>
        <v>7.2198212608936672</v>
      </c>
      <c r="Y13" s="587">
        <f t="shared" si="7"/>
        <v>4.1406206422642384</v>
      </c>
      <c r="Z13" s="587">
        <f t="shared" si="7"/>
        <v>-1.1334096877797037</v>
      </c>
      <c r="AA13" s="587">
        <f t="shared" si="7"/>
        <v>-1.6638315800277468</v>
      </c>
      <c r="AB13" s="587">
        <f t="shared" si="7"/>
        <v>0.20911382571388515</v>
      </c>
      <c r="AC13" s="590">
        <f t="shared" si="7"/>
        <v>2.575156043163318</v>
      </c>
      <c r="AD13" s="58"/>
      <c r="AE13" s="58"/>
      <c r="AG13" s="58"/>
      <c r="AH13" s="58"/>
      <c r="AI13" s="58"/>
    </row>
    <row r="14" spans="1:36">
      <c r="A14" s="343" t="s">
        <v>166</v>
      </c>
      <c r="B14" s="174"/>
      <c r="C14" s="175"/>
      <c r="D14" s="175"/>
      <c r="E14" s="175"/>
      <c r="F14" s="405"/>
      <c r="G14" s="175"/>
      <c r="H14" s="175"/>
      <c r="I14" s="175"/>
      <c r="J14" s="175"/>
      <c r="K14" s="175"/>
      <c r="L14" s="175"/>
      <c r="M14" s="358"/>
      <c r="N14" s="405"/>
      <c r="O14" s="624"/>
      <c r="P14" s="625"/>
      <c r="Q14" s="626"/>
      <c r="R14" s="626"/>
      <c r="S14" s="627"/>
      <c r="T14" s="624"/>
      <c r="U14" s="625"/>
      <c r="V14" s="625"/>
      <c r="W14" s="625"/>
      <c r="X14" s="627"/>
      <c r="Y14" s="624"/>
      <c r="Z14" s="625"/>
      <c r="AA14" s="625"/>
      <c r="AB14" s="625"/>
      <c r="AC14" s="627"/>
      <c r="AD14" s="58"/>
      <c r="AE14" s="58"/>
      <c r="AF14" s="58"/>
      <c r="AG14" s="58"/>
      <c r="AH14" s="58"/>
      <c r="AI14" s="58"/>
    </row>
    <row r="15" spans="1:36">
      <c r="A15" s="342" t="s">
        <v>243</v>
      </c>
      <c r="B15" s="558">
        <f t="shared" ref="B15:N15" si="8">B35/B5*100-100</f>
        <v>-33.185337323338715</v>
      </c>
      <c r="C15" s="557">
        <f t="shared" si="8"/>
        <v>-17.933558250844342</v>
      </c>
      <c r="D15" s="557">
        <f t="shared" si="8"/>
        <v>5.0793328400527287</v>
      </c>
      <c r="E15" s="645">
        <f>E35/E5*100-100</f>
        <v>-22.754543970732271</v>
      </c>
      <c r="F15" s="559">
        <f t="shared" si="8"/>
        <v>1.0438906193308952</v>
      </c>
      <c r="G15" s="557">
        <f t="shared" si="8"/>
        <v>-33.185337323338743</v>
      </c>
      <c r="H15" s="557">
        <f t="shared" si="8"/>
        <v>-17.933558250844357</v>
      </c>
      <c r="I15" s="557">
        <f t="shared" si="8"/>
        <v>5.0793328400527287</v>
      </c>
      <c r="J15" s="645">
        <f t="shared" si="8"/>
        <v>-22.7545439707323</v>
      </c>
      <c r="K15" s="557">
        <f t="shared" si="8"/>
        <v>5.1772335476909319</v>
      </c>
      <c r="L15" s="557">
        <f t="shared" si="8"/>
        <v>-17.986211886609397</v>
      </c>
      <c r="M15" s="557">
        <f t="shared" si="8"/>
        <v>-20.859544147021865</v>
      </c>
      <c r="N15" s="557">
        <f t="shared" si="8"/>
        <v>-17.611855608286433</v>
      </c>
      <c r="O15" s="563" t="s">
        <v>76</v>
      </c>
      <c r="P15" s="556" t="s">
        <v>76</v>
      </c>
      <c r="Q15" s="629">
        <f>Q35/Q5*100-100</f>
        <v>0</v>
      </c>
      <c r="R15" s="629">
        <f>R35/R5*100-100</f>
        <v>0</v>
      </c>
      <c r="S15" s="566" t="s">
        <v>76</v>
      </c>
      <c r="T15" s="563" t="s">
        <v>76</v>
      </c>
      <c r="U15" s="556" t="s">
        <v>76</v>
      </c>
      <c r="V15" s="556" t="s">
        <v>76</v>
      </c>
      <c r="W15" s="556" t="s">
        <v>76</v>
      </c>
      <c r="X15" s="559">
        <f t="shared" ref="X15:AC15" si="9">X35/X5*100-100</f>
        <v>-26.125511364077497</v>
      </c>
      <c r="Y15" s="558">
        <f t="shared" si="9"/>
        <v>25.84196496491937</v>
      </c>
      <c r="Z15" s="557">
        <f t="shared" si="9"/>
        <v>0.25885335834044554</v>
      </c>
      <c r="AA15" s="557">
        <f t="shared" si="9"/>
        <v>8.6438124991604468</v>
      </c>
      <c r="AB15" s="645">
        <f>AB35/AB5*100-100</f>
        <v>9.5972475699434625</v>
      </c>
      <c r="AC15" s="559">
        <f t="shared" si="9"/>
        <v>0.26309603257610092</v>
      </c>
      <c r="AD15" s="58"/>
      <c r="AE15" s="58"/>
      <c r="AF15" s="58"/>
      <c r="AG15" s="58"/>
      <c r="AH15" s="58"/>
      <c r="AI15" s="58"/>
    </row>
    <row r="16" spans="1:36">
      <c r="A16" s="342" t="s">
        <v>259</v>
      </c>
      <c r="B16" s="558">
        <f t="shared" ref="B16:N16" si="10">B41/B6*100-100</f>
        <v>-25.581713906252091</v>
      </c>
      <c r="C16" s="557">
        <f t="shared" si="10"/>
        <v>-8.9764647692873893</v>
      </c>
      <c r="D16" s="557">
        <f t="shared" si="10"/>
        <v>0.50123245434375008</v>
      </c>
      <c r="E16" s="557">
        <f t="shared" si="10"/>
        <v>-14.318064003918991</v>
      </c>
      <c r="F16" s="559">
        <f t="shared" si="10"/>
        <v>2.046711583382276</v>
      </c>
      <c r="G16" s="558">
        <f t="shared" si="10"/>
        <v>-25.581713906252119</v>
      </c>
      <c r="H16" s="557">
        <f t="shared" si="10"/>
        <v>-8.9764647692873467</v>
      </c>
      <c r="I16" s="557">
        <f t="shared" si="10"/>
        <v>0.50123245434376429</v>
      </c>
      <c r="J16" s="557">
        <f t="shared" si="10"/>
        <v>-14.318064003918991</v>
      </c>
      <c r="K16" s="557">
        <f t="shared" si="10"/>
        <v>19.770604984687751</v>
      </c>
      <c r="L16" s="557">
        <f t="shared" si="10"/>
        <v>-5.69879501984623</v>
      </c>
      <c r="M16" s="557">
        <f t="shared" si="10"/>
        <v>-12.550185022218912</v>
      </c>
      <c r="N16" s="557">
        <f t="shared" si="10"/>
        <v>-5.3572072053715516</v>
      </c>
      <c r="O16" s="563" t="s">
        <v>76</v>
      </c>
      <c r="P16" s="556" t="s">
        <v>76</v>
      </c>
      <c r="Q16" s="629">
        <f>Q41/Q6*100-100</f>
        <v>0</v>
      </c>
      <c r="R16" s="629">
        <f>R41/R6*100-100</f>
        <v>0</v>
      </c>
      <c r="S16" s="566" t="s">
        <v>76</v>
      </c>
      <c r="T16" s="563" t="s">
        <v>76</v>
      </c>
      <c r="U16" s="556" t="s">
        <v>76</v>
      </c>
      <c r="V16" s="556" t="s">
        <v>76</v>
      </c>
      <c r="W16" s="556" t="s">
        <v>76</v>
      </c>
      <c r="X16" s="557">
        <f t="shared" ref="X16:AC16" si="11">X41/X6*100-100</f>
        <v>-8.4888509672559849</v>
      </c>
      <c r="Y16" s="558">
        <f t="shared" si="11"/>
        <v>47.595678293560411</v>
      </c>
      <c r="Z16" s="557">
        <f t="shared" si="11"/>
        <v>17.452038759705445</v>
      </c>
      <c r="AA16" s="557">
        <f t="shared" si="11"/>
        <v>4.6002552302290667</v>
      </c>
      <c r="AB16" s="557">
        <f t="shared" si="11"/>
        <v>26.027275373285178</v>
      </c>
      <c r="AC16" s="559">
        <f t="shared" si="11"/>
        <v>0.25852766497050084</v>
      </c>
      <c r="AD16" s="58"/>
      <c r="AE16" s="58"/>
      <c r="AF16" s="58"/>
      <c r="AG16" s="58"/>
      <c r="AH16" s="58"/>
      <c r="AI16" s="58"/>
    </row>
    <row r="17" spans="1:43">
      <c r="A17" s="342" t="s">
        <v>260</v>
      </c>
      <c r="B17" s="558">
        <f t="shared" ref="B17:N17" si="12">B46/B7*100-100</f>
        <v>-25.716639055329523</v>
      </c>
      <c r="C17" s="557">
        <f t="shared" si="12"/>
        <v>-9.0077656797925272</v>
      </c>
      <c r="D17" s="557">
        <f t="shared" si="12"/>
        <v>-2.9300018959913245</v>
      </c>
      <c r="E17" s="557">
        <f t="shared" si="12"/>
        <v>-13.340066380831033</v>
      </c>
      <c r="F17" s="559">
        <f t="shared" si="12"/>
        <v>1.6846542601283403</v>
      </c>
      <c r="G17" s="557">
        <f t="shared" si="12"/>
        <v>-25.716639055329537</v>
      </c>
      <c r="H17" s="557">
        <f t="shared" si="12"/>
        <v>-9.0077656797925272</v>
      </c>
      <c r="I17" s="557">
        <f t="shared" si="12"/>
        <v>4.1033986827378328</v>
      </c>
      <c r="J17" s="557">
        <f t="shared" si="12"/>
        <v>-13.042684696709799</v>
      </c>
      <c r="K17" s="557">
        <f t="shared" si="12"/>
        <v>18.851955452806777</v>
      </c>
      <c r="L17" s="557">
        <f t="shared" si="12"/>
        <v>-5.406896746215736</v>
      </c>
      <c r="M17" s="557">
        <f t="shared" si="12"/>
        <v>-11.797166629303121</v>
      </c>
      <c r="N17" s="557">
        <f t="shared" si="12"/>
        <v>-5.1539995499640696</v>
      </c>
      <c r="O17" s="563" t="s">
        <v>76</v>
      </c>
      <c r="P17" s="556" t="s">
        <v>76</v>
      </c>
      <c r="Q17" s="629">
        <f>Q46/Q7*100-100</f>
        <v>-30.831880283103317</v>
      </c>
      <c r="R17" s="629">
        <f>R46/R7*100-100</f>
        <v>-30.824984673121122</v>
      </c>
      <c r="S17" s="566" t="s">
        <v>76</v>
      </c>
      <c r="T17" s="563" t="s">
        <v>76</v>
      </c>
      <c r="U17" s="556" t="s">
        <v>76</v>
      </c>
      <c r="V17" s="556" t="s">
        <v>76</v>
      </c>
      <c r="W17" s="556" t="s">
        <v>76</v>
      </c>
      <c r="X17" s="559">
        <f t="shared" ref="X17:AC17" si="13">X46/X7*100-100</f>
        <v>-8.0355340405880469</v>
      </c>
      <c r="Y17" s="558">
        <f t="shared" si="13"/>
        <v>46.899111025939106</v>
      </c>
      <c r="Z17" s="557">
        <f t="shared" si="13"/>
        <v>17.056685783058015</v>
      </c>
      <c r="AA17" s="557">
        <f t="shared" si="13"/>
        <v>1.3048598436733698</v>
      </c>
      <c r="AB17" s="557">
        <f t="shared" si="13"/>
        <v>23.605191778235053</v>
      </c>
      <c r="AC17" s="559">
        <f t="shared" si="13"/>
        <v>0.26344148331010331</v>
      </c>
      <c r="AD17" s="58"/>
      <c r="AE17" s="58"/>
      <c r="AF17" s="58"/>
      <c r="AG17" s="58"/>
      <c r="AH17" s="58"/>
      <c r="AI17" s="58"/>
    </row>
    <row r="18" spans="1:43">
      <c r="A18" s="342" t="s">
        <v>263</v>
      </c>
      <c r="B18" s="558">
        <f t="shared" ref="B18:N18" si="14">AVERAGE(B35:B41)/B8*100-100</f>
        <v>-26.524983161679216</v>
      </c>
      <c r="C18" s="557">
        <f t="shared" si="14"/>
        <v>-10.065016592315104</v>
      </c>
      <c r="D18" s="557">
        <f t="shared" si="14"/>
        <v>1.0275606092633467</v>
      </c>
      <c r="E18" s="557">
        <f t="shared" si="14"/>
        <v>-15.65235944359496</v>
      </c>
      <c r="F18" s="559">
        <f t="shared" si="14"/>
        <v>1.9179754475465671</v>
      </c>
      <c r="G18" s="557">
        <f t="shared" si="14"/>
        <v>-26.524983161679245</v>
      </c>
      <c r="H18" s="557">
        <f t="shared" si="14"/>
        <v>-10.065016592315089</v>
      </c>
      <c r="I18" s="557">
        <f t="shared" si="14"/>
        <v>1.0275606092633467</v>
      </c>
      <c r="J18" s="557">
        <f t="shared" si="14"/>
        <v>-15.652359443594975</v>
      </c>
      <c r="K18" s="557">
        <f t="shared" si="14"/>
        <v>16.087516357513692</v>
      </c>
      <c r="L18" s="557">
        <f t="shared" si="14"/>
        <v>-7.5324484225662189</v>
      </c>
      <c r="M18" s="557">
        <f t="shared" si="14"/>
        <v>-13.827530118138696</v>
      </c>
      <c r="N18" s="557">
        <f t="shared" si="14"/>
        <v>-7.1845379510097729</v>
      </c>
      <c r="O18" s="563" t="s">
        <v>76</v>
      </c>
      <c r="P18" s="556" t="s">
        <v>76</v>
      </c>
      <c r="Q18" s="629">
        <f>AVERAGE(Q35:Q41)/Q8*100-100</f>
        <v>0</v>
      </c>
      <c r="R18" s="629">
        <f>AVERAGE(R35:R41)/R8*100-100</f>
        <v>0</v>
      </c>
      <c r="S18" s="566" t="s">
        <v>76</v>
      </c>
      <c r="T18" s="563" t="s">
        <v>76</v>
      </c>
      <c r="U18" s="556" t="s">
        <v>76</v>
      </c>
      <c r="V18" s="556" t="s">
        <v>76</v>
      </c>
      <c r="W18" s="556" t="s">
        <v>76</v>
      </c>
      <c r="X18" s="559">
        <f t="shared" ref="X18:AC18" si="15">AVERAGE(X35:X41)/X8*100-100</f>
        <v>-11.127034276845052</v>
      </c>
      <c r="Y18" s="558">
        <f t="shared" si="15"/>
        <v>44.94188169716179</v>
      </c>
      <c r="Z18" s="557">
        <f t="shared" si="15"/>
        <v>15.19842261625675</v>
      </c>
      <c r="AA18" s="557">
        <f t="shared" si="15"/>
        <v>5.1400965524981359</v>
      </c>
      <c r="AB18" s="557">
        <f t="shared" si="15"/>
        <v>24.378590208331261</v>
      </c>
      <c r="AC18" s="559">
        <f t="shared" si="15"/>
        <v>0.28450781030390715</v>
      </c>
      <c r="AD18" s="58"/>
      <c r="AE18" s="58"/>
      <c r="AF18" s="58"/>
      <c r="AG18" s="58"/>
      <c r="AH18" s="58"/>
      <c r="AI18" s="58"/>
    </row>
    <row r="19" spans="1:43">
      <c r="A19" s="342" t="s">
        <v>264</v>
      </c>
      <c r="B19" s="558">
        <f t="shared" ref="B19:N19" si="16">AVERAGE(B41:B46)/B9*100-100</f>
        <v>-25.652057920718192</v>
      </c>
      <c r="C19" s="557">
        <f t="shared" si="16"/>
        <v>-8.992737734060654</v>
      </c>
      <c r="D19" s="557">
        <f t="shared" si="16"/>
        <v>-1.3948116666994252</v>
      </c>
      <c r="E19" s="557">
        <f t="shared" si="16"/>
        <v>-13.823219009817876</v>
      </c>
      <c r="F19" s="559">
        <f t="shared" si="16"/>
        <v>1.8673852073574722</v>
      </c>
      <c r="G19" s="557">
        <f t="shared" si="16"/>
        <v>-25.652057920718221</v>
      </c>
      <c r="H19" s="557">
        <f t="shared" si="16"/>
        <v>-8.992737734060654</v>
      </c>
      <c r="I19" s="557">
        <f t="shared" si="16"/>
        <v>2.3645019585743228</v>
      </c>
      <c r="J19" s="557">
        <f t="shared" si="16"/>
        <v>-13.654642994431754</v>
      </c>
      <c r="K19" s="557">
        <f t="shared" si="16"/>
        <v>19.430914550815999</v>
      </c>
      <c r="L19" s="557">
        <f t="shared" si="16"/>
        <v>-5.5682739791149629</v>
      </c>
      <c r="M19" s="557">
        <f t="shared" si="16"/>
        <v>-12.164268442292737</v>
      </c>
      <c r="N19" s="557">
        <f t="shared" si="16"/>
        <v>-5.2723085385809441</v>
      </c>
      <c r="O19" s="563" t="s">
        <v>76</v>
      </c>
      <c r="P19" s="556" t="s">
        <v>76</v>
      </c>
      <c r="Q19" s="629">
        <f>AVERAGE(Q41:Q46)/Q9*100-100</f>
        <v>-42.168690006233547</v>
      </c>
      <c r="R19" s="629">
        <f>AVERAGE(R41:R46)/R9*100-100</f>
        <v>-42.136776883745277</v>
      </c>
      <c r="S19" s="566" t="s">
        <v>76</v>
      </c>
      <c r="T19" s="563" t="s">
        <v>76</v>
      </c>
      <c r="U19" s="556" t="s">
        <v>76</v>
      </c>
      <c r="V19" s="556" t="s">
        <v>76</v>
      </c>
      <c r="W19" s="556" t="s">
        <v>76</v>
      </c>
      <c r="X19" s="559">
        <f t="shared" ref="X19:AC19" si="17">AVERAGE(X41:X46)/X9*100-100</f>
        <v>-8.2911517003765596</v>
      </c>
      <c r="Y19" s="558">
        <f t="shared" si="17"/>
        <v>47.235521536289212</v>
      </c>
      <c r="Z19" s="557">
        <f t="shared" si="17"/>
        <v>17.223859245162274</v>
      </c>
      <c r="AA19" s="557">
        <f t="shared" si="17"/>
        <v>2.7463825921078637</v>
      </c>
      <c r="AB19" s="557">
        <f t="shared" si="17"/>
        <v>24.812783307663167</v>
      </c>
      <c r="AC19" s="559">
        <f t="shared" si="17"/>
        <v>0.237269804485706</v>
      </c>
      <c r="AD19" s="58"/>
      <c r="AE19" s="58"/>
      <c r="AF19" s="58"/>
      <c r="AG19" s="58"/>
      <c r="AH19" s="58"/>
      <c r="AI19" s="58"/>
    </row>
    <row r="20" spans="1:43">
      <c r="A20" s="342" t="s">
        <v>265</v>
      </c>
      <c r="B20" s="558">
        <f>B12-B10</f>
        <v>1.8682358158922483</v>
      </c>
      <c r="C20" s="557">
        <f t="shared" ref="C20:N20" si="18">C12-C10</f>
        <v>1.8410856546621091</v>
      </c>
      <c r="D20" s="557">
        <f t="shared" si="18"/>
        <v>-0.79489647847034917</v>
      </c>
      <c r="E20" s="557">
        <f t="shared" si="18"/>
        <v>1.8264933402621892</v>
      </c>
      <c r="F20" s="559">
        <f t="shared" si="18"/>
        <v>0.17219494040486438</v>
      </c>
      <c r="G20" s="557">
        <f t="shared" si="18"/>
        <v>1.8682358158922483</v>
      </c>
      <c r="H20" s="557">
        <f t="shared" si="18"/>
        <v>1.8410856546621233</v>
      </c>
      <c r="I20" s="557">
        <f t="shared" si="18"/>
        <v>-0.79489647847034917</v>
      </c>
      <c r="J20" s="557">
        <f t="shared" si="18"/>
        <v>1.8264933402622034</v>
      </c>
      <c r="K20" s="557">
        <f t="shared" si="18"/>
        <v>2.2379034609917028</v>
      </c>
      <c r="L20" s="557">
        <f t="shared" si="18"/>
        <v>2.4836264410209878</v>
      </c>
      <c r="M20" s="557">
        <f t="shared" si="18"/>
        <v>1.7636619036629071</v>
      </c>
      <c r="N20" s="557">
        <f t="shared" si="18"/>
        <v>2.4655911648756472</v>
      </c>
      <c r="O20" s="563" t="s">
        <v>76</v>
      </c>
      <c r="P20" s="556" t="s">
        <v>76</v>
      </c>
      <c r="Q20" s="556" t="s">
        <v>76</v>
      </c>
      <c r="R20" s="556" t="s">
        <v>76</v>
      </c>
      <c r="S20" s="566" t="s">
        <v>76</v>
      </c>
      <c r="T20" s="563" t="s">
        <v>76</v>
      </c>
      <c r="U20" s="556" t="s">
        <v>76</v>
      </c>
      <c r="V20" s="556" t="s">
        <v>76</v>
      </c>
      <c r="W20" s="556" t="s">
        <v>76</v>
      </c>
      <c r="X20" s="559">
        <f t="shared" ref="X20:AC20" si="19">X12-X10</f>
        <v>3.8456423641202377</v>
      </c>
      <c r="Y20" s="558">
        <f t="shared" si="19"/>
        <v>2.8398691235086773</v>
      </c>
      <c r="Z20" s="557">
        <f t="shared" si="19"/>
        <v>2.7358724623782109</v>
      </c>
      <c r="AA20" s="557">
        <f t="shared" si="19"/>
        <v>-0.63890000699892369</v>
      </c>
      <c r="AB20" s="557">
        <f t="shared" si="19"/>
        <v>2.4367918463105553</v>
      </c>
      <c r="AC20" s="559">
        <f t="shared" si="19"/>
        <v>-7.8371676339372698E-4</v>
      </c>
      <c r="AD20" s="58"/>
      <c r="AE20" s="58"/>
      <c r="AF20" s="58"/>
      <c r="AG20" s="58"/>
      <c r="AH20" s="58"/>
      <c r="AI20" s="58"/>
    </row>
    <row r="21" spans="1:43" ht="17" thickBot="1">
      <c r="A21" s="344" t="s">
        <v>266</v>
      </c>
      <c r="B21" s="560">
        <f>B13-B11</f>
        <v>-3.7395184360349276E-2</v>
      </c>
      <c r="C21" s="561">
        <f t="shared" ref="C21:N21" si="20">C13-C11</f>
        <v>-7.4902015686433288E-3</v>
      </c>
      <c r="D21" s="561">
        <f t="shared" si="20"/>
        <v>-0.79499284647145885</v>
      </c>
      <c r="E21" s="561">
        <f t="shared" si="20"/>
        <v>0.24401852323894957</v>
      </c>
      <c r="F21" s="562">
        <f t="shared" si="20"/>
        <v>-7.6057128881345193E-2</v>
      </c>
      <c r="G21" s="557">
        <f t="shared" si="20"/>
        <v>-3.7395184360349276E-2</v>
      </c>
      <c r="H21" s="557">
        <f t="shared" si="20"/>
        <v>-7.4902015686717505E-3</v>
      </c>
      <c r="I21" s="557">
        <f t="shared" si="20"/>
        <v>0.7758898348414931</v>
      </c>
      <c r="J21" s="557">
        <f t="shared" si="20"/>
        <v>0.31671139731280107</v>
      </c>
      <c r="K21" s="557">
        <f t="shared" si="20"/>
        <v>-0.15668651790583965</v>
      </c>
      <c r="L21" s="557">
        <f t="shared" si="20"/>
        <v>6.6254783401419104E-2</v>
      </c>
      <c r="M21" s="557">
        <f t="shared" si="20"/>
        <v>0.18538730874244891</v>
      </c>
      <c r="N21" s="557">
        <f t="shared" si="20"/>
        <v>4.594701533864054E-2</v>
      </c>
      <c r="O21" s="564" t="s">
        <v>76</v>
      </c>
      <c r="P21" s="565" t="s">
        <v>76</v>
      </c>
      <c r="Q21" s="565" t="s">
        <v>76</v>
      </c>
      <c r="R21" s="565" t="s">
        <v>76</v>
      </c>
      <c r="S21" s="567" t="s">
        <v>76</v>
      </c>
      <c r="T21" s="564" t="s">
        <v>76</v>
      </c>
      <c r="U21" s="565" t="s">
        <v>76</v>
      </c>
      <c r="V21" s="565" t="s">
        <v>76</v>
      </c>
      <c r="W21" s="565" t="s">
        <v>76</v>
      </c>
      <c r="X21" s="562">
        <f t="shared" ref="X21:AC21" si="21">X13-X11</f>
        <v>0.10591194674833559</v>
      </c>
      <c r="Y21" s="560">
        <f t="shared" si="21"/>
        <v>-9.8576154951743433E-2</v>
      </c>
      <c r="Z21" s="561">
        <f t="shared" si="21"/>
        <v>-6.6693331111579823E-2</v>
      </c>
      <c r="AA21" s="561">
        <f t="shared" si="21"/>
        <v>-0.63159944579430771</v>
      </c>
      <c r="AB21" s="561">
        <f t="shared" si="21"/>
        <v>-0.38968344586857029</v>
      </c>
      <c r="AC21" s="562">
        <f t="shared" si="21"/>
        <v>1.0054423760408326E-3</v>
      </c>
      <c r="AD21" s="58"/>
      <c r="AE21" s="58"/>
      <c r="AF21" s="58"/>
      <c r="AG21" s="58"/>
      <c r="AH21" s="58"/>
      <c r="AI21" s="58"/>
    </row>
    <row r="22" spans="1:43">
      <c r="A22" s="343" t="s">
        <v>267</v>
      </c>
      <c r="B22" s="592"/>
      <c r="C22" s="260"/>
      <c r="D22" s="260"/>
      <c r="E22" s="260"/>
      <c r="F22" s="593"/>
      <c r="G22" s="379"/>
      <c r="H22" s="380"/>
      <c r="I22" s="380"/>
      <c r="J22" s="380"/>
      <c r="K22" s="380"/>
      <c r="L22" s="380"/>
      <c r="M22" s="524"/>
      <c r="N22" s="381"/>
      <c r="O22" s="260"/>
      <c r="P22" s="260"/>
      <c r="Q22" s="320"/>
      <c r="R22" s="320"/>
      <c r="S22" s="537"/>
      <c r="T22" s="320"/>
      <c r="U22" s="320"/>
      <c r="V22" s="320"/>
      <c r="W22" s="320"/>
      <c r="X22" s="260"/>
      <c r="Y22" s="260"/>
      <c r="Z22" s="260"/>
      <c r="AA22" s="260"/>
      <c r="AB22" s="260"/>
      <c r="AC22" s="260"/>
      <c r="AD22" s="58"/>
      <c r="AE22" s="58"/>
      <c r="AF22" s="58"/>
      <c r="AG22" s="58"/>
      <c r="AH22" s="58"/>
      <c r="AI22" s="58"/>
    </row>
    <row r="23" spans="1:43">
      <c r="A23" s="342" t="s">
        <v>244</v>
      </c>
      <c r="B23" s="11">
        <f t="shared" ref="B23:D25" si="22">B5/$E5*100</f>
        <v>39.322041719086918</v>
      </c>
      <c r="C23" s="12">
        <f t="shared" si="22"/>
        <v>55.566365803223128</v>
      </c>
      <c r="D23" s="581">
        <f t="shared" si="22"/>
        <v>5.1115924776899444</v>
      </c>
      <c r="E23" s="377">
        <f>SUM(B23:D23)</f>
        <v>99.999999999999986</v>
      </c>
      <c r="F23" s="405"/>
      <c r="G23" s="11">
        <f t="shared" ref="G23:I25" si="23">G5/$J5*100</f>
        <v>39.322041719086911</v>
      </c>
      <c r="H23" s="12">
        <f t="shared" si="23"/>
        <v>55.566365803223135</v>
      </c>
      <c r="I23" s="581">
        <f t="shared" si="23"/>
        <v>5.1115924776899435</v>
      </c>
      <c r="J23" s="377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25">
        <f t="shared" si="24"/>
        <v>44.930812879333772</v>
      </c>
      <c r="N23" s="378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>
      <c r="A24" s="342" t="s">
        <v>236</v>
      </c>
      <c r="B24" s="11">
        <f t="shared" si="22"/>
        <v>35.557049113939897</v>
      </c>
      <c r="C24" s="12">
        <f t="shared" si="22"/>
        <v>58.505460552565168</v>
      </c>
      <c r="D24" s="581">
        <f t="shared" si="22"/>
        <v>5.9374903334949423</v>
      </c>
      <c r="E24" s="377">
        <f>SUM(B24:D24)</f>
        <v>100</v>
      </c>
      <c r="F24" s="405"/>
      <c r="G24" s="11">
        <f t="shared" si="23"/>
        <v>35.557049113939911</v>
      </c>
      <c r="H24" s="12">
        <f t="shared" si="23"/>
        <v>58.505460552565147</v>
      </c>
      <c r="I24" s="581">
        <f t="shared" si="23"/>
        <v>5.9374903334949449</v>
      </c>
      <c r="J24" s="377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25">
        <f t="shared" si="24"/>
        <v>44.053388218928667</v>
      </c>
      <c r="N24" s="378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>
      <c r="A25" s="342" t="s">
        <v>230</v>
      </c>
      <c r="B25" s="11">
        <f t="shared" si="22"/>
        <v>28.948179563759091</v>
      </c>
      <c r="C25" s="12">
        <f t="shared" si="22"/>
        <v>62.749194918974268</v>
      </c>
      <c r="D25" s="581">
        <f t="shared" si="22"/>
        <v>8.3026255172666339</v>
      </c>
      <c r="E25" s="377">
        <f>SUM(B25:D25)</f>
        <v>99.999999999999986</v>
      </c>
      <c r="F25" s="405"/>
      <c r="G25" s="11">
        <f t="shared" si="23"/>
        <v>29.44023609687212</v>
      </c>
      <c r="H25" s="12">
        <f t="shared" si="23"/>
        <v>63.815795712970939</v>
      </c>
      <c r="I25" s="581">
        <f t="shared" si="23"/>
        <v>6.7439681901569486</v>
      </c>
      <c r="J25" s="377">
        <f>SUM(G25:I25)</f>
        <v>100</v>
      </c>
      <c r="K25" s="72">
        <f t="shared" si="24"/>
        <v>1.0424944848044655</v>
      </c>
      <c r="L25" s="72">
        <f t="shared" si="24"/>
        <v>98.957505515195535</v>
      </c>
      <c r="M25" s="525">
        <f t="shared" si="24"/>
        <v>45.99517230859896</v>
      </c>
      <c r="N25" s="378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>
      <c r="A26" s="343" t="s">
        <v>268</v>
      </c>
      <c r="B26" s="11"/>
      <c r="C26" s="12"/>
      <c r="D26" s="176"/>
      <c r="E26" s="377"/>
      <c r="F26" s="405"/>
      <c r="G26" s="11"/>
      <c r="H26" s="12"/>
      <c r="I26" s="176"/>
      <c r="J26" s="377"/>
      <c r="K26" s="72"/>
      <c r="L26" s="72"/>
      <c r="M26" s="525"/>
      <c r="N26" s="378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>
      <c r="A27" s="342" t="s">
        <v>244</v>
      </c>
      <c r="B27" s="11">
        <f>B35/$E35*100</f>
        <v>34.012213640410572</v>
      </c>
      <c r="C27" s="12">
        <f>C35/$E35*100</f>
        <v>59.034332332437586</v>
      </c>
      <c r="D27" s="581">
        <f>D35/$E35*100</f>
        <v>6.9534540271518326</v>
      </c>
      <c r="E27" s="377">
        <f>SUM(B27:D27)</f>
        <v>99.999999999999986</v>
      </c>
      <c r="F27" s="405"/>
      <c r="G27" s="11">
        <f>G35/$E35*100</f>
        <v>34.012213640410558</v>
      </c>
      <c r="H27" s="12">
        <f>H35/$E35*100</f>
        <v>59.034332332437614</v>
      </c>
      <c r="I27" s="581">
        <f>I35/$E35*100</f>
        <v>6.9534540271518344</v>
      </c>
      <c r="J27" s="377">
        <f>SUM(G27:I27)</f>
        <v>100.00000000000001</v>
      </c>
      <c r="K27" s="72">
        <f>K35/$N35*100</f>
        <v>2.063188860618371</v>
      </c>
      <c r="L27" s="72">
        <f>L35/$N35*100</f>
        <v>97.936811139381632</v>
      </c>
      <c r="M27" s="525">
        <f>M35/$N35*100</f>
        <v>43.159668655833642</v>
      </c>
      <c r="N27" s="378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>
      <c r="A28" s="342" t="s">
        <v>236</v>
      </c>
      <c r="B28" s="11">
        <f>B41/$E41*100</f>
        <v>30.882759858876835</v>
      </c>
      <c r="C28" s="12">
        <f>C41/$E41*100</f>
        <v>62.152818886340967</v>
      </c>
      <c r="D28" s="581">
        <f>D41/$E41*100</f>
        <v>6.9644212547821933</v>
      </c>
      <c r="E28" s="377">
        <f>SUM(B28:D28)</f>
        <v>100</v>
      </c>
      <c r="F28" s="405"/>
      <c r="G28" s="11">
        <f>G41/$J41*100</f>
        <v>30.882759858876831</v>
      </c>
      <c r="H28" s="12">
        <f>H41/$J41*100</f>
        <v>62.152818886340974</v>
      </c>
      <c r="I28" s="581">
        <f>I41/$J41*100</f>
        <v>6.9644212547821978</v>
      </c>
      <c r="J28" s="377">
        <f>SUM(G28:I28)</f>
        <v>100</v>
      </c>
      <c r="K28" s="72">
        <f>K41/$N41*100</f>
        <v>1.6972520870659726</v>
      </c>
      <c r="L28" s="72">
        <f>L41/$N41*100</f>
        <v>98.302747912934024</v>
      </c>
      <c r="M28" s="525">
        <f>M41/$N41*100</f>
        <v>40.705272267793049</v>
      </c>
      <c r="N28" s="378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7" thickBot="1">
      <c r="A29" s="344" t="s">
        <v>230</v>
      </c>
      <c r="B29" s="21">
        <f>B46/$E46*100</f>
        <v>24.813867048130234</v>
      </c>
      <c r="C29" s="22">
        <f>C46/$E46*100</f>
        <v>65.886150716006426</v>
      </c>
      <c r="D29" s="582">
        <f>D46/$E46*100</f>
        <v>9.2999822358633253</v>
      </c>
      <c r="E29" s="360">
        <f>SUM(B29:D29)</f>
        <v>99.999999999999986</v>
      </c>
      <c r="F29" s="50"/>
      <c r="G29" s="21">
        <f>G46/$J46*100</f>
        <v>25.149346856589549</v>
      </c>
      <c r="H29" s="22">
        <f>H46/$J46*100</f>
        <v>66.776921718343715</v>
      </c>
      <c r="I29" s="582">
        <f>I46/$J46*100</f>
        <v>8.0737314250667378</v>
      </c>
      <c r="J29" s="360">
        <f>SUM(G29:I29)</f>
        <v>100</v>
      </c>
      <c r="K29" s="76">
        <f>K46/$N46*100</f>
        <v>1.3063545903872658</v>
      </c>
      <c r="L29" s="76">
        <f>L46/$N46*100</f>
        <v>98.693645409612728</v>
      </c>
      <c r="M29" s="526">
        <f>M46/$N46*100</f>
        <v>42.773596142612128</v>
      </c>
      <c r="N29" s="361">
        <f>SUM(K29:L29)</f>
        <v>100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>
      <c r="B30" s="174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7" thickBot="1">
      <c r="A31" s="359" t="s">
        <v>167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5" customHeight="1" thickBot="1">
      <c r="A32" s="504"/>
      <c r="B32" s="679" t="s">
        <v>68</v>
      </c>
      <c r="C32" s="680"/>
      <c r="D32" s="680"/>
      <c r="E32" s="680"/>
      <c r="F32" s="681"/>
      <c r="G32" s="682" t="s">
        <v>69</v>
      </c>
      <c r="H32" s="683"/>
      <c r="I32" s="683"/>
      <c r="J32" s="683"/>
      <c r="K32" s="683"/>
      <c r="L32" s="683"/>
      <c r="M32" s="683"/>
      <c r="N32" s="684"/>
      <c r="O32" s="679" t="s">
        <v>74</v>
      </c>
      <c r="P32" s="680"/>
      <c r="Q32" s="680"/>
      <c r="R32" s="680"/>
      <c r="S32" s="681"/>
      <c r="T32" s="679" t="s">
        <v>75</v>
      </c>
      <c r="U32" s="680"/>
      <c r="V32" s="680"/>
      <c r="W32" s="680"/>
      <c r="X32" s="681"/>
      <c r="Y32" s="683" t="s">
        <v>70</v>
      </c>
      <c r="Z32" s="683"/>
      <c r="AA32" s="683"/>
      <c r="AB32" s="683"/>
      <c r="AC32" s="684"/>
      <c r="AD32" s="692" t="s">
        <v>77</v>
      </c>
      <c r="AE32" s="694" t="s">
        <v>217</v>
      </c>
      <c r="AF32" s="695"/>
      <c r="AG32" s="690" t="s">
        <v>237</v>
      </c>
      <c r="AI32" s="679" t="s">
        <v>270</v>
      </c>
      <c r="AJ32" s="680"/>
      <c r="AK32" s="680"/>
      <c r="AL32" s="681"/>
      <c r="AN32" s="1"/>
      <c r="AO32" s="1"/>
      <c r="AP32" s="1"/>
      <c r="AQ32" s="1"/>
    </row>
    <row r="33" spans="1:43" s="58" customFormat="1" ht="18" thickBot="1">
      <c r="A33" s="505"/>
      <c r="B33" s="60" t="s">
        <v>52</v>
      </c>
      <c r="C33" s="60" t="s">
        <v>53</v>
      </c>
      <c r="D33" s="60" t="s">
        <v>54</v>
      </c>
      <c r="E33" s="172" t="s">
        <v>160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160</v>
      </c>
      <c r="K33" s="60" t="s">
        <v>72</v>
      </c>
      <c r="L33" s="60" t="s">
        <v>73</v>
      </c>
      <c r="M33" s="60" t="s">
        <v>231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160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160</v>
      </c>
      <c r="X33" s="495" t="s">
        <v>51</v>
      </c>
      <c r="Y33" s="491" t="s">
        <v>52</v>
      </c>
      <c r="Z33" s="60" t="s">
        <v>53</v>
      </c>
      <c r="AA33" s="60" t="s">
        <v>54</v>
      </c>
      <c r="AB33" s="172" t="s">
        <v>160</v>
      </c>
      <c r="AC33" s="60" t="s">
        <v>51</v>
      </c>
      <c r="AD33" s="693"/>
      <c r="AE33" s="449" t="s">
        <v>55</v>
      </c>
      <c r="AF33" s="494" t="s">
        <v>51</v>
      </c>
      <c r="AG33" s="691"/>
      <c r="AI33" s="630" t="s">
        <v>52</v>
      </c>
      <c r="AJ33" s="631" t="s">
        <v>53</v>
      </c>
      <c r="AK33" s="631" t="s">
        <v>54</v>
      </c>
      <c r="AL33" s="61" t="s">
        <v>160</v>
      </c>
      <c r="AN33" s="1"/>
      <c r="AO33" s="1"/>
      <c r="AP33" s="1"/>
      <c r="AQ33" s="1"/>
    </row>
    <row r="34" spans="1:43">
      <c r="A34" s="544">
        <v>2018</v>
      </c>
      <c r="B34" s="126">
        <f>SIM_BASE!B104</f>
        <v>754.57999192206967</v>
      </c>
      <c r="C34" s="127">
        <f>SIM_BASE!C104</f>
        <v>1059.4367831280683</v>
      </c>
      <c r="D34" s="127">
        <f>SIM_BASE!D104</f>
        <v>97.747074134229763</v>
      </c>
      <c r="E34" s="545">
        <f>SIM_BASE!E104</f>
        <v>1911.7638491843677</v>
      </c>
      <c r="F34" s="129">
        <f>SIM_BASE!F104</f>
        <v>4246.4333566721834</v>
      </c>
      <c r="G34" s="126">
        <f>SIM_BASE!G104</f>
        <v>754.57999192206967</v>
      </c>
      <c r="H34" s="127">
        <f>SIM_BASE!H104</f>
        <v>1059.4367831280681</v>
      </c>
      <c r="I34" s="127">
        <f>SIM_BASE!I104</f>
        <v>95.751636940187325</v>
      </c>
      <c r="J34" s="545">
        <f>SIM_BASE!J104</f>
        <v>1909.7684119903251</v>
      </c>
      <c r="K34" s="127">
        <f>SIM_BASE!K104</f>
        <v>217.21155814112998</v>
      </c>
      <c r="L34" s="127">
        <f>SIM_BASE!L104</f>
        <v>12835.395477989525</v>
      </c>
      <c r="M34" s="127">
        <f>2*(B34*$B$62*$C$62+C34*$B$63*$C$63+D34*$B$64*$C$64)</f>
        <v>5917.5833314495449</v>
      </c>
      <c r="N34" s="546">
        <f>SIM_BASE!M104</f>
        <v>13052.607036130656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2.0024371940424079</v>
      </c>
      <c r="R34" s="601">
        <f>IF(SIM_BASE!Q104&gt;0,SIM_BASE!Q104,0)</f>
        <v>2.0164371940424077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01">
        <f>IF(SIM_BASE!Q104&lt;0,-SIM_BASE!Q104,0)</f>
        <v>0</v>
      </c>
      <c r="X34" s="129">
        <f>IF(SIM_BASE!R104&lt;0,-SIM_BASE!R104,0)</f>
        <v>8806.1666794584708</v>
      </c>
      <c r="Y34" s="127">
        <f>SIM_BASE!S104</f>
        <v>79291.006026788498</v>
      </c>
      <c r="Z34" s="127">
        <f>SIM_BASE!T104</f>
        <v>79472.188203116253</v>
      </c>
      <c r="AA34" s="127">
        <f>SIM_BASE!U104</f>
        <v>82941.792586116542</v>
      </c>
      <c r="AB34" s="128">
        <f>SIM_BASE!V104</f>
        <v>79574.558654334236</v>
      </c>
      <c r="AC34" s="129">
        <f>SIM_BASE!W104</f>
        <v>7099.9176596539928</v>
      </c>
      <c r="AD34" s="547">
        <v>94666</v>
      </c>
      <c r="AE34" s="548">
        <f t="shared" ref="AE34:AE46" si="25">(J34/AD34)*1000</f>
        <v>20.173752054489736</v>
      </c>
      <c r="AF34" s="549">
        <f t="shared" ref="AF34:AF46" si="26">(K34/AD34)*1000</f>
        <v>2.2945044487052373</v>
      </c>
      <c r="AG34" s="574">
        <f>M34-(F34-K34)</f>
        <v>1888.3615329184913</v>
      </c>
      <c r="AH34" s="370"/>
      <c r="AI34" s="350" t="s">
        <v>269</v>
      </c>
      <c r="AJ34" s="371" t="s">
        <v>269</v>
      </c>
      <c r="AK34" s="371" t="s">
        <v>269</v>
      </c>
      <c r="AL34" s="349" t="s">
        <v>269</v>
      </c>
      <c r="AM34" s="497"/>
    </row>
    <row r="35" spans="1:43">
      <c r="A35" s="506">
        <v>2019</v>
      </c>
      <c r="B35" s="167">
        <f>SIM_BASE!B105</f>
        <v>519.62756574953846</v>
      </c>
      <c r="C35" s="74">
        <f>SIM_BASE!C105</f>
        <v>901.90737744594276</v>
      </c>
      <c r="D35" s="74">
        <f>SIM_BASE!D105</f>
        <v>106.23261478598121</v>
      </c>
      <c r="E35" s="173">
        <f>SIM_BASE!E105</f>
        <v>1527.7675579814625</v>
      </c>
      <c r="F35" s="75">
        <f>SIM_BASE!F105</f>
        <v>4316.8760868025665</v>
      </c>
      <c r="G35" s="167">
        <f>SIM_BASE!G105</f>
        <v>519.62756574953823</v>
      </c>
      <c r="H35" s="74">
        <f>SIM_BASE!H105</f>
        <v>901.90737744594298</v>
      </c>
      <c r="I35" s="74">
        <f>SIM_BASE!I105</f>
        <v>106.23261478598123</v>
      </c>
      <c r="J35" s="173">
        <f>SIM_BASE!J105</f>
        <v>1527.7675579814625</v>
      </c>
      <c r="K35" s="74">
        <f>SIM_BASE!K105</f>
        <v>231.75435627159848</v>
      </c>
      <c r="L35" s="74">
        <f>SIM_BASE!L105</f>
        <v>11001.068808648841</v>
      </c>
      <c r="M35" s="74">
        <f t="shared" ref="M35:M46" si="27">2*(B35*$B$62*$C$62+C35*$B$63*$C$63+D35*$B$64*$C$64)</f>
        <v>4848.0492586753871</v>
      </c>
      <c r="N35" s="503">
        <f>SIM_BASE!M105</f>
        <v>11232.823164920439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6915.9400781178747</v>
      </c>
      <c r="Y35" s="74">
        <f>SIM_BASE!S105</f>
        <v>105548.44664281659</v>
      </c>
      <c r="Z35" s="74">
        <f>SIM_BASE!T105</f>
        <v>83667.296331925478</v>
      </c>
      <c r="AA35" s="74">
        <f>SIM_BASE!U105</f>
        <v>93240.033121746135</v>
      </c>
      <c r="AB35" s="95">
        <f>SIM_BASE!V105</f>
        <v>91775.195774465567</v>
      </c>
      <c r="AC35" s="75">
        <f>SIM_BASE!W105</f>
        <v>7420.3539870722461</v>
      </c>
      <c r="AD35" s="17">
        <v>95750.9</v>
      </c>
      <c r="AE35" s="11">
        <f t="shared" si="25"/>
        <v>15.955646975448403</v>
      </c>
      <c r="AF35" s="13">
        <f t="shared" si="26"/>
        <v>2.4203882811712316</v>
      </c>
      <c r="AG35" s="575">
        <f t="shared" ref="AG35:AG46" si="28">M35-(F35-K35)</f>
        <v>762.92752814441928</v>
      </c>
      <c r="AH35" s="370"/>
      <c r="AI35" s="632">
        <f t="shared" ref="AI35:AI46" si="29">B35/B34*100-100</f>
        <v>-31.136848139063332</v>
      </c>
      <c r="AJ35" s="633">
        <f t="shared" ref="AJ35:AJ46" si="30">C35/C34*100-100</f>
        <v>-14.869165219750812</v>
      </c>
      <c r="AK35" s="633">
        <f t="shared" ref="AK35:AK46" si="31">D35/D34*100-100</f>
        <v>8.6811198462051209</v>
      </c>
      <c r="AL35" s="636">
        <f t="shared" ref="AL35:AL46" si="32">E35/E34*100-100</f>
        <v>-20.085968848439776</v>
      </c>
      <c r="AM35" s="497"/>
    </row>
    <row r="36" spans="1:43">
      <c r="A36" s="506">
        <v>2020</v>
      </c>
      <c r="B36" s="167">
        <f>SIM_BASE!B106</f>
        <v>597.57316673246464</v>
      </c>
      <c r="C36" s="74">
        <f>SIM_BASE!C106</f>
        <v>1043.7109461884334</v>
      </c>
      <c r="D36" s="74">
        <f>SIM_BASE!D106</f>
        <v>107.03280117908848</v>
      </c>
      <c r="E36" s="173">
        <f>SIM_BASE!E106</f>
        <v>1748.3169140999864</v>
      </c>
      <c r="F36" s="75">
        <f>SIM_BASE!F106</f>
        <v>4503.2090818369152</v>
      </c>
      <c r="G36" s="167">
        <f>SIM_BASE!G106</f>
        <v>597.57316673246453</v>
      </c>
      <c r="H36" s="74">
        <f>SIM_BASE!H106</f>
        <v>1043.7109461884334</v>
      </c>
      <c r="I36" s="74">
        <f>SIM_BASE!I106</f>
        <v>107.03280117908854</v>
      </c>
      <c r="J36" s="173">
        <f>SIM_BASE!J106</f>
        <v>1748.3169140999862</v>
      </c>
      <c r="K36" s="74">
        <f>SIM_BASE!K106</f>
        <v>259.76120670327686</v>
      </c>
      <c r="L36" s="74">
        <f>SIM_BASE!L106</f>
        <v>13227.889464401707</v>
      </c>
      <c r="M36" s="74">
        <f t="shared" si="27"/>
        <v>5539.3948070504066</v>
      </c>
      <c r="N36" s="503">
        <f>SIM_BASE!M106</f>
        <v>13487.650671104984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8984.4345892680685</v>
      </c>
      <c r="Y36" s="74">
        <f>SIM_BASE!S106</f>
        <v>130870.66756083556</v>
      </c>
      <c r="Z36" s="74">
        <f>SIM_BASE!T106</f>
        <v>102221.76478883311</v>
      </c>
      <c r="AA36" s="74">
        <f>SIM_BASE!U106</f>
        <v>93190.351517059375</v>
      </c>
      <c r="AB36" s="95">
        <f>SIM_BASE!V106</f>
        <v>111461.02682509129</v>
      </c>
      <c r="AC36" s="75">
        <f>SIM_BASE!W106</f>
        <v>7642.2438157455408</v>
      </c>
      <c r="AD36" s="17">
        <v>96848.3</v>
      </c>
      <c r="AE36" s="11">
        <f t="shared" si="25"/>
        <v>18.052117735675136</v>
      </c>
      <c r="AF36" s="13">
        <f t="shared" si="26"/>
        <v>2.682145238515047</v>
      </c>
      <c r="AG36" s="575">
        <f t="shared" si="28"/>
        <v>1295.9469319167683</v>
      </c>
      <c r="AH36" s="370"/>
      <c r="AI36" s="632">
        <f t="shared" si="29"/>
        <v>15.000282148329319</v>
      </c>
      <c r="AJ36" s="633">
        <f t="shared" si="30"/>
        <v>15.722630980584242</v>
      </c>
      <c r="AK36" s="633">
        <f t="shared" si="31"/>
        <v>0.75323985455817422</v>
      </c>
      <c r="AL36" s="636">
        <f t="shared" si="32"/>
        <v>14.436054422435916</v>
      </c>
      <c r="AM36" s="497"/>
    </row>
    <row r="37" spans="1:43">
      <c r="A37" s="506">
        <v>2021</v>
      </c>
      <c r="B37" s="167">
        <f>SIM_BASE!B107</f>
        <v>615.80720452500714</v>
      </c>
      <c r="C37" s="74">
        <f>SIM_BASE!C107</f>
        <v>1094.5736513351221</v>
      </c>
      <c r="D37" s="74">
        <f>SIM_BASE!D107</f>
        <v>113.66355054731918</v>
      </c>
      <c r="E37" s="173">
        <f>SIM_BASE!E107</f>
        <v>1824.0444064074484</v>
      </c>
      <c r="F37" s="75">
        <f>SIM_BASE!F107</f>
        <v>4685.3900596601534</v>
      </c>
      <c r="G37" s="167">
        <f>SIM_BASE!G107</f>
        <v>615.80720452500702</v>
      </c>
      <c r="H37" s="74">
        <f>SIM_BASE!H107</f>
        <v>1094.5736513351226</v>
      </c>
      <c r="I37" s="74">
        <f>SIM_BASE!I107</f>
        <v>113.66355054731918</v>
      </c>
      <c r="J37" s="173">
        <f>SIM_BASE!J107</f>
        <v>1824.0444064074486</v>
      </c>
      <c r="K37" s="74">
        <f>SIM_BASE!K107</f>
        <v>268.91570000166752</v>
      </c>
      <c r="L37" s="74">
        <f>SIM_BASE!L107</f>
        <v>13937.268248270604</v>
      </c>
      <c r="M37" s="74">
        <f t="shared" si="27"/>
        <v>5790.0666892689469</v>
      </c>
      <c r="N37" s="503">
        <f>SIM_BASE!M107</f>
        <v>14206.183948272272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9520.7868886121178</v>
      </c>
      <c r="Y37" s="74">
        <f>SIM_BASE!S107</f>
        <v>138307.77056000193</v>
      </c>
      <c r="Z37" s="74">
        <f>SIM_BASE!T107</f>
        <v>105829.02638285772</v>
      </c>
      <c r="AA37" s="74">
        <f>SIM_BASE!U107</f>
        <v>95833.975984896373</v>
      </c>
      <c r="AB37" s="95">
        <f>SIM_BASE!V107</f>
        <v>116171.19331465579</v>
      </c>
      <c r="AC37" s="75">
        <f>SIM_BASE!W107</f>
        <v>7898.7829608529219</v>
      </c>
      <c r="AD37" s="17">
        <v>97958.3</v>
      </c>
      <c r="AE37" s="11">
        <f t="shared" si="25"/>
        <v>18.620621288930582</v>
      </c>
      <c r="AF37" s="13">
        <f t="shared" si="26"/>
        <v>2.7452058682282923</v>
      </c>
      <c r="AG37" s="575">
        <f t="shared" si="28"/>
        <v>1373.5923296104611</v>
      </c>
      <c r="AH37" s="370"/>
      <c r="AI37" s="632">
        <f t="shared" si="29"/>
        <v>3.051348154109121</v>
      </c>
      <c r="AJ37" s="633">
        <f t="shared" si="30"/>
        <v>4.873255888753107</v>
      </c>
      <c r="AK37" s="633">
        <f t="shared" si="31"/>
        <v>6.1950629107950306</v>
      </c>
      <c r="AL37" s="636">
        <f t="shared" si="32"/>
        <v>4.3314511057307641</v>
      </c>
      <c r="AM37" s="497"/>
    </row>
    <row r="38" spans="1:43">
      <c r="A38" s="506">
        <v>2022</v>
      </c>
      <c r="B38" s="167">
        <f>SIM_BASE!B108</f>
        <v>634.55465047247878</v>
      </c>
      <c r="C38" s="74">
        <f>SIM_BASE!C108</f>
        <v>1154.0374508997318</v>
      </c>
      <c r="D38" s="74">
        <f>SIM_BASE!D108</f>
        <v>121.66103980911268</v>
      </c>
      <c r="E38" s="173">
        <f>SIM_BASE!E108</f>
        <v>1910.2531411813231</v>
      </c>
      <c r="F38" s="75">
        <f>SIM_BASE!F108</f>
        <v>4891.8019359395703</v>
      </c>
      <c r="G38" s="167">
        <f>SIM_BASE!G108</f>
        <v>634.5546504724789</v>
      </c>
      <c r="H38" s="74">
        <f>SIM_BASE!H108</f>
        <v>1154.037450899732</v>
      </c>
      <c r="I38" s="74">
        <f>SIM_BASE!I108</f>
        <v>121.66103980911264</v>
      </c>
      <c r="J38" s="173">
        <f>SIM_BASE!J108</f>
        <v>1910.2531411813236</v>
      </c>
      <c r="K38" s="74">
        <f>SIM_BASE!K108</f>
        <v>277.84916322054409</v>
      </c>
      <c r="L38" s="74">
        <f>SIM_BASE!L108</f>
        <v>14707.142739460802</v>
      </c>
      <c r="M38" s="74">
        <f t="shared" si="27"/>
        <v>6078.2307023680078</v>
      </c>
      <c r="N38" s="503">
        <f>SIM_BASE!M108</f>
        <v>14984.991902681346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10093.182966741775</v>
      </c>
      <c r="Y38" s="74">
        <f>SIM_BASE!S108</f>
        <v>145971.71236524178</v>
      </c>
      <c r="Z38" s="74">
        <f>SIM_BASE!T108</f>
        <v>108744.70985998143</v>
      </c>
      <c r="AA38" s="74">
        <f>SIM_BASE!U108</f>
        <v>97633.786336384335</v>
      </c>
      <c r="AB38" s="95">
        <f>SIM_BASE!V108</f>
        <v>120403.26996053998</v>
      </c>
      <c r="AC38" s="75">
        <f>SIM_BASE!W108</f>
        <v>8161.7388289450864</v>
      </c>
      <c r="AD38" s="17">
        <v>99081</v>
      </c>
      <c r="AE38" s="11">
        <f t="shared" si="25"/>
        <v>19.279711964769469</v>
      </c>
      <c r="AF38" s="13">
        <f t="shared" si="26"/>
        <v>2.8042628074054976</v>
      </c>
      <c r="AG38" s="575">
        <f t="shared" si="28"/>
        <v>1464.2779296489816</v>
      </c>
      <c r="AH38" s="370"/>
      <c r="AI38" s="632">
        <f t="shared" si="29"/>
        <v>3.0443693756282357</v>
      </c>
      <c r="AJ38" s="633">
        <f t="shared" si="30"/>
        <v>5.4325992126777152</v>
      </c>
      <c r="AK38" s="633">
        <f t="shared" si="31"/>
        <v>7.0361071982034247</v>
      </c>
      <c r="AL38" s="636">
        <f t="shared" si="32"/>
        <v>4.7262410098703356</v>
      </c>
      <c r="AM38" s="497"/>
    </row>
    <row r="39" spans="1:43">
      <c r="A39" s="506">
        <v>2023</v>
      </c>
      <c r="B39" s="167">
        <f>SIM_BASE!B109</f>
        <v>653.84648730446588</v>
      </c>
      <c r="C39" s="74">
        <f>SIM_BASE!C109</f>
        <v>1223.3042529076447</v>
      </c>
      <c r="D39" s="74">
        <f>SIM_BASE!D109</f>
        <v>131.2661947638793</v>
      </c>
      <c r="E39" s="173">
        <f>SIM_BASE!E109</f>
        <v>2008.41693497599</v>
      </c>
      <c r="F39" s="75">
        <f>SIM_BASE!F109</f>
        <v>5122.6583367306812</v>
      </c>
      <c r="G39" s="167">
        <f>SIM_BASE!G109</f>
        <v>653.84648730446588</v>
      </c>
      <c r="H39" s="74">
        <f>SIM_BASE!H109</f>
        <v>1223.3042529076442</v>
      </c>
      <c r="I39" s="74">
        <f>SIM_BASE!I109</f>
        <v>131.26619476387933</v>
      </c>
      <c r="J39" s="173">
        <f>SIM_BASE!J109</f>
        <v>2008.4169349759895</v>
      </c>
      <c r="K39" s="74">
        <f>SIM_BASE!K109</f>
        <v>286.58464887845588</v>
      </c>
      <c r="L39" s="74">
        <f>SIM_BASE!L109</f>
        <v>15547.609057216567</v>
      </c>
      <c r="M39" s="74">
        <f t="shared" si="27"/>
        <v>6409.2287849961103</v>
      </c>
      <c r="N39" s="503">
        <f>SIM_BASE!M109</f>
        <v>15834.193706095022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10711.528369364341</v>
      </c>
      <c r="Y39" s="74">
        <f>SIM_BASE!S109</f>
        <v>153847.67188109879</v>
      </c>
      <c r="Z39" s="74">
        <f>SIM_BASE!T109</f>
        <v>110887.18107995545</v>
      </c>
      <c r="AA39" s="74">
        <f>SIM_BASE!U109</f>
        <v>98524.916944257042</v>
      </c>
      <c r="AB39" s="95">
        <f>SIM_BASE!V109</f>
        <v>124065.13142011262</v>
      </c>
      <c r="AC39" s="75">
        <f>SIM_BASE!W109</f>
        <v>8419.3291964554282</v>
      </c>
      <c r="AD39" s="17">
        <v>100216.5</v>
      </c>
      <c r="AE39" s="11">
        <f t="shared" si="25"/>
        <v>20.040781058767664</v>
      </c>
      <c r="AF39" s="13">
        <f t="shared" si="26"/>
        <v>2.8596553349843177</v>
      </c>
      <c r="AG39" s="575">
        <f t="shared" si="28"/>
        <v>1573.1550971438846</v>
      </c>
      <c r="AH39" s="370"/>
      <c r="AI39" s="632">
        <f t="shared" si="29"/>
        <v>3.0402167595214564</v>
      </c>
      <c r="AJ39" s="633">
        <f t="shared" si="30"/>
        <v>6.0021277432469731</v>
      </c>
      <c r="AK39" s="633">
        <f t="shared" si="31"/>
        <v>7.895013037729413</v>
      </c>
      <c r="AL39" s="636">
        <f t="shared" si="32"/>
        <v>5.138784576685012</v>
      </c>
      <c r="AM39" s="497"/>
    </row>
    <row r="40" spans="1:43">
      <c r="A40" s="506">
        <v>2024</v>
      </c>
      <c r="B40" s="167">
        <f>SIM_BASE!B110</f>
        <v>673.64820406833246</v>
      </c>
      <c r="C40" s="74">
        <f>SIM_BASE!C110</f>
        <v>1303.6410914249288</v>
      </c>
      <c r="D40" s="74">
        <f>SIM_BASE!D110</f>
        <v>142.76018718829039</v>
      </c>
      <c r="E40" s="173">
        <f>SIM_BASE!E110</f>
        <v>2120.0494826815516</v>
      </c>
      <c r="F40" s="75">
        <f>SIM_BASE!F110</f>
        <v>5386.6446305001964</v>
      </c>
      <c r="G40" s="167">
        <f>SIM_BASE!G110</f>
        <v>673.64820406833235</v>
      </c>
      <c r="H40" s="74">
        <f>SIM_BASE!H110</f>
        <v>1303.6410914249291</v>
      </c>
      <c r="I40" s="74">
        <f>SIM_BASE!I110</f>
        <v>142.76018718829039</v>
      </c>
      <c r="J40" s="173">
        <f>SIM_BASE!J110</f>
        <v>2120.0494826815516</v>
      </c>
      <c r="K40" s="74">
        <f>SIM_BASE!K110</f>
        <v>294.37421656424709</v>
      </c>
      <c r="L40" s="74">
        <f>SIM_BASE!L110</f>
        <v>16456.485358714872</v>
      </c>
      <c r="M40" s="74">
        <f t="shared" si="27"/>
        <v>6788.64576818364</v>
      </c>
      <c r="N40" s="503">
        <f>SIM_BASE!M110</f>
        <v>16750.859575279119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11364.207944778924</v>
      </c>
      <c r="Y40" s="74">
        <f>SIM_BASE!S110</f>
        <v>161925.2906077556</v>
      </c>
      <c r="Z40" s="74">
        <f>SIM_BASE!T110</f>
        <v>112207.0734502205</v>
      </c>
      <c r="AA40" s="74">
        <f>SIM_BASE!U110</f>
        <v>98478.149443916758</v>
      </c>
      <c r="AB40" s="95">
        <f>SIM_BASE!V110</f>
        <v>127080.6149379102</v>
      </c>
      <c r="AC40" s="75">
        <f>SIM_BASE!W110</f>
        <v>8686.6062272615345</v>
      </c>
      <c r="AD40" s="17">
        <v>101365.1</v>
      </c>
      <c r="AE40" s="11">
        <f t="shared" si="25"/>
        <v>20.914984375110876</v>
      </c>
      <c r="AF40" s="13">
        <f t="shared" si="26"/>
        <v>2.9040983194832055</v>
      </c>
      <c r="AG40" s="575">
        <f t="shared" si="28"/>
        <v>1696.3753542476907</v>
      </c>
      <c r="AH40" s="370"/>
      <c r="AI40" s="632">
        <f t="shared" si="29"/>
        <v>3.0284963134849363</v>
      </c>
      <c r="AJ40" s="633">
        <f t="shared" si="30"/>
        <v>6.5672001324554685</v>
      </c>
      <c r="AK40" s="633">
        <f t="shared" si="31"/>
        <v>8.7562471397044845</v>
      </c>
      <c r="AL40" s="636">
        <f t="shared" si="32"/>
        <v>5.5582357309139212</v>
      </c>
      <c r="AM40" s="497"/>
    </row>
    <row r="41" spans="1:43">
      <c r="A41" s="538">
        <v>2025</v>
      </c>
      <c r="B41" s="130">
        <f>SIM_BASE!B111</f>
        <v>693.98581658391402</v>
      </c>
      <c r="C41" s="131">
        <f>SIM_BASE!C111</f>
        <v>1396.6748750737509</v>
      </c>
      <c r="D41" s="131">
        <f>SIM_BASE!D111</f>
        <v>156.5018668545307</v>
      </c>
      <c r="E41" s="539">
        <f>SIM_BASE!E111</f>
        <v>2247.1625585121956</v>
      </c>
      <c r="F41" s="133">
        <f>SIM_BASE!F111</f>
        <v>5687.7562034390457</v>
      </c>
      <c r="G41" s="130">
        <f>SIM_BASE!G111</f>
        <v>693.9858165839139</v>
      </c>
      <c r="H41" s="131">
        <f>SIM_BASE!H111</f>
        <v>1396.6748750737511</v>
      </c>
      <c r="I41" s="131">
        <f>SIM_BASE!I111</f>
        <v>156.50186685453079</v>
      </c>
      <c r="J41" s="539">
        <f>SIM_BASE!J111</f>
        <v>2247.1625585121956</v>
      </c>
      <c r="K41" s="131">
        <f>SIM_BASE!K111</f>
        <v>301.20465070685219</v>
      </c>
      <c r="L41" s="131">
        <f>SIM_BASE!L111</f>
        <v>17445.4019378019</v>
      </c>
      <c r="M41" s="131">
        <f t="shared" si="27"/>
        <v>7223.8045301465872</v>
      </c>
      <c r="N41" s="540">
        <f>SIM_BASE!M111</f>
        <v>17746.606588508752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7.0000000000000001E-3</v>
      </c>
      <c r="R41" s="602">
        <f>IF(SIM_BASE!Q111&gt;0,SIM_BASE!Q111,0)</f>
        <v>2.1000000000000001E-2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0</v>
      </c>
      <c r="W41" s="602">
        <f>IF(SIM_BASE!Q111&lt;0,-SIM_BASE!Q111,0)</f>
        <v>0</v>
      </c>
      <c r="X41" s="133">
        <f>IF(SIM_BASE!R111&lt;0,-SIM_BASE!R111,0)</f>
        <v>12058.843385069709</v>
      </c>
      <c r="Y41" s="131">
        <f>SIM_BASE!S111</f>
        <v>170197.62959913901</v>
      </c>
      <c r="Z41" s="131">
        <f>SIM_BASE!T111</f>
        <v>112684.13780618466</v>
      </c>
      <c r="AA41" s="131">
        <f>SIM_BASE!U111</f>
        <v>97511.230980718625</v>
      </c>
      <c r="AB41" s="132">
        <f>SIM_BASE!V111</f>
        <v>129389.18621513653</v>
      </c>
      <c r="AC41" s="133">
        <f>SIM_BASE!W111</f>
        <v>8963.9224519055497</v>
      </c>
      <c r="AD41" s="541">
        <v>102526.8</v>
      </c>
      <c r="AE41" s="542">
        <f t="shared" si="25"/>
        <v>21.91780645170039</v>
      </c>
      <c r="AF41" s="543">
        <f t="shared" si="26"/>
        <v>2.9378138272807908</v>
      </c>
      <c r="AG41" s="576">
        <f t="shared" si="28"/>
        <v>1837.2529774143941</v>
      </c>
      <c r="AH41" s="370"/>
      <c r="AI41" s="632">
        <f t="shared" si="29"/>
        <v>3.0190257159089242</v>
      </c>
      <c r="AJ41" s="633">
        <f t="shared" si="30"/>
        <v>7.1364568254850553</v>
      </c>
      <c r="AK41" s="633">
        <f t="shared" si="31"/>
        <v>9.6257086355007573</v>
      </c>
      <c r="AL41" s="636">
        <f t="shared" si="32"/>
        <v>5.9957598569758233</v>
      </c>
      <c r="AM41" s="497"/>
    </row>
    <row r="42" spans="1:43">
      <c r="A42" s="506">
        <v>2026</v>
      </c>
      <c r="B42" s="167">
        <f>SIM_BASE!B112</f>
        <v>714.90646463127723</v>
      </c>
      <c r="C42" s="74">
        <f>SIM_BASE!C112</f>
        <v>1504.3978008844635</v>
      </c>
      <c r="D42" s="74">
        <f>SIM_BASE!D112</f>
        <v>172.94384044777897</v>
      </c>
      <c r="E42" s="173">
        <f>SIM_BASE!E112</f>
        <v>2392.2481059635197</v>
      </c>
      <c r="F42" s="75">
        <f>SIM_BASE!F112</f>
        <v>6026.0867220143218</v>
      </c>
      <c r="G42" s="167">
        <f>SIM_BASE!G112</f>
        <v>714.90646463127723</v>
      </c>
      <c r="H42" s="74">
        <f>SIM_BASE!H112</f>
        <v>1504.3978008844635</v>
      </c>
      <c r="I42" s="74">
        <f>SIM_BASE!I112</f>
        <v>172.94384044777888</v>
      </c>
      <c r="J42" s="173">
        <f>SIM_BASE!J112</f>
        <v>2392.2481059635193</v>
      </c>
      <c r="K42" s="74">
        <f>SIM_BASE!K112</f>
        <v>306.93205155420571</v>
      </c>
      <c r="L42" s="74">
        <f>SIM_BASE!L112</f>
        <v>18530.074569573884</v>
      </c>
      <c r="M42" s="74">
        <f t="shared" si="27"/>
        <v>7723.7586770986745</v>
      </c>
      <c r="N42" s="503">
        <f>SIM_BASE!M112</f>
        <v>18837.00662112809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7.0000000000000001E-3</v>
      </c>
      <c r="R42" s="88">
        <f>IF(SIM_BASE!Q112&gt;0,SIM_BASE!Q112,0)</f>
        <v>2.1000000000000001E-2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0</v>
      </c>
      <c r="W42" s="88">
        <f>IF(SIM_BASE!Q112&lt;0,-SIM_BASE!Q112,0)</f>
        <v>0</v>
      </c>
      <c r="X42" s="75">
        <f>IF(SIM_BASE!R112&lt;0,-SIM_BASE!R112,0)</f>
        <v>12810.912899113768</v>
      </c>
      <c r="Y42" s="74">
        <f>SIM_BASE!S112</f>
        <v>178650.48560245999</v>
      </c>
      <c r="Z42" s="74">
        <f>SIM_BASE!T112</f>
        <v>112295.63511812224</v>
      </c>
      <c r="AA42" s="74">
        <f>SIM_BASE!U112</f>
        <v>95641.112131552189</v>
      </c>
      <c r="AB42" s="95">
        <f>SIM_BASE!V112</f>
        <v>130921.30119920187</v>
      </c>
      <c r="AC42" s="75">
        <f>SIM_BASE!W112</f>
        <v>9239.9370018150294</v>
      </c>
      <c r="AD42" s="17">
        <v>103701.8</v>
      </c>
      <c r="AE42" s="11">
        <f t="shared" si="25"/>
        <v>23.068530208381333</v>
      </c>
      <c r="AF42" s="13">
        <f t="shared" si="26"/>
        <v>2.9597562583697266</v>
      </c>
      <c r="AG42" s="575">
        <f t="shared" si="28"/>
        <v>2004.6040066385585</v>
      </c>
      <c r="AH42" s="370"/>
      <c r="AI42" s="632">
        <f t="shared" si="29"/>
        <v>3.0145642097331802</v>
      </c>
      <c r="AJ42" s="633">
        <f t="shared" si="30"/>
        <v>7.7128133206394409</v>
      </c>
      <c r="AK42" s="633">
        <f t="shared" si="31"/>
        <v>10.505928091280325</v>
      </c>
      <c r="AL42" s="636">
        <f t="shared" si="32"/>
        <v>6.4563886089034241</v>
      </c>
      <c r="AM42" s="497"/>
    </row>
    <row r="43" spans="1:43">
      <c r="A43" s="506">
        <v>2027</v>
      </c>
      <c r="B43" s="167">
        <f>SIM_BASE!B113</f>
        <v>736.39752644285272</v>
      </c>
      <c r="C43" s="74">
        <f>SIM_BASE!C113</f>
        <v>1629.1349197377717</v>
      </c>
      <c r="D43" s="74">
        <f>SIM_BASE!D113</f>
        <v>192.63928625636652</v>
      </c>
      <c r="E43" s="173">
        <f>SIM_BASE!E113</f>
        <v>2558.1717324369911</v>
      </c>
      <c r="F43" s="75">
        <f>SIM_BASE!F113</f>
        <v>6410.7951737258682</v>
      </c>
      <c r="G43" s="167">
        <f>SIM_BASE!G113</f>
        <v>736.39752644285272</v>
      </c>
      <c r="H43" s="74">
        <f>SIM_BASE!H113</f>
        <v>1629.134919737771</v>
      </c>
      <c r="I43" s="74">
        <f>SIM_BASE!I113</f>
        <v>192.63928625636655</v>
      </c>
      <c r="J43" s="173">
        <f>SIM_BASE!J113</f>
        <v>2558.1717324369906</v>
      </c>
      <c r="K43" s="74">
        <f>SIM_BASE!K113</f>
        <v>311.27810284552061</v>
      </c>
      <c r="L43" s="74">
        <f>SIM_BASE!L113</f>
        <v>19715.256819678652</v>
      </c>
      <c r="M43" s="74">
        <f t="shared" si="27"/>
        <v>8299.0180734706391</v>
      </c>
      <c r="N43" s="503">
        <f>SIM_BASE!M113</f>
        <v>20026.534922524173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7.0000000000000001E-3</v>
      </c>
      <c r="R43" s="88">
        <f>IF(SIM_BASE!Q113&gt;0,SIM_BASE!Q113,0)</f>
        <v>2.1000000000000001E-2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0</v>
      </c>
      <c r="W43" s="88">
        <f>IF(SIM_BASE!Q113&lt;0,-SIM_BASE!Q113,0)</f>
        <v>0</v>
      </c>
      <c r="X43" s="75">
        <f>IF(SIM_BASE!R113&lt;0,-SIM_BASE!R113,0)</f>
        <v>13615.732748798306</v>
      </c>
      <c r="Y43" s="74">
        <f>SIM_BASE!S113</f>
        <v>187269.88735465053</v>
      </c>
      <c r="Z43" s="74">
        <f>SIM_BASE!T113</f>
        <v>111055.93873342637</v>
      </c>
      <c r="AA43" s="74">
        <f>SIM_BASE!U113</f>
        <v>92925.556389912555</v>
      </c>
      <c r="AB43" s="95">
        <f>SIM_BASE!V113</f>
        <v>131629.67061528272</v>
      </c>
      <c r="AC43" s="75">
        <f>SIM_BASE!W113</f>
        <v>9525.9414276848056</v>
      </c>
      <c r="AD43" s="17">
        <v>104890.3</v>
      </c>
      <c r="AE43" s="11">
        <f t="shared" si="25"/>
        <v>24.389021028989244</v>
      </c>
      <c r="AF43" s="13">
        <f t="shared" si="26"/>
        <v>2.9676538521247493</v>
      </c>
      <c r="AG43" s="575">
        <f t="shared" si="28"/>
        <v>2199.501002590292</v>
      </c>
      <c r="AH43" s="370"/>
      <c r="AI43" s="632">
        <f t="shared" si="29"/>
        <v>3.0061361695281192</v>
      </c>
      <c r="AJ43" s="633">
        <f t="shared" si="30"/>
        <v>8.2914983510327573</v>
      </c>
      <c r="AK43" s="633">
        <f t="shared" si="31"/>
        <v>11.388347661063221</v>
      </c>
      <c r="AL43" s="636">
        <f t="shared" si="32"/>
        <v>6.9358870453214365</v>
      </c>
      <c r="AM43" s="497"/>
    </row>
    <row r="44" spans="1:43">
      <c r="A44" s="506">
        <v>2028</v>
      </c>
      <c r="B44" s="167">
        <f>SIM_BASE!B114</f>
        <v>758.56228617169859</v>
      </c>
      <c r="C44" s="74">
        <f>SIM_BASE!C114</f>
        <v>1773.7428534080857</v>
      </c>
      <c r="D44" s="74">
        <f>SIM_BASE!D114</f>
        <v>216.77614299357955</v>
      </c>
      <c r="E44" s="173">
        <f>SIM_BASE!E114</f>
        <v>2749.0812825733638</v>
      </c>
      <c r="F44" s="75">
        <f>SIM_BASE!F114</f>
        <v>6851.1113419466528</v>
      </c>
      <c r="G44" s="167">
        <f>SIM_BASE!G114</f>
        <v>758.56228617169847</v>
      </c>
      <c r="H44" s="74">
        <f>SIM_BASE!H114</f>
        <v>1773.7428534080857</v>
      </c>
      <c r="I44" s="74">
        <f>SIM_BASE!I114</f>
        <v>215.79520306524932</v>
      </c>
      <c r="J44" s="173">
        <f>SIM_BASE!J114</f>
        <v>2748.1003426450334</v>
      </c>
      <c r="K44" s="74">
        <f>SIM_BASE!K114</f>
        <v>314.43144272247588</v>
      </c>
      <c r="L44" s="74">
        <f>SIM_BASE!L114</f>
        <v>21048.883396307683</v>
      </c>
      <c r="M44" s="74">
        <f t="shared" si="27"/>
        <v>8964.7587652754137</v>
      </c>
      <c r="N44" s="503">
        <f>SIM_BASE!M114</f>
        <v>21363.314839030158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0.98793992833018962</v>
      </c>
      <c r="R44" s="88">
        <f>IF(SIM_BASE!Q114&gt;0,SIM_BASE!Q114,0)</f>
        <v>1.0019399283301895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0</v>
      </c>
      <c r="W44" s="88">
        <f>IF(SIM_BASE!Q114&lt;0,-SIM_BASE!Q114,0)</f>
        <v>0</v>
      </c>
      <c r="X44" s="75">
        <f>IF(SIM_BASE!R114&lt;0,-SIM_BASE!R114,0)</f>
        <v>14512.196497083509</v>
      </c>
      <c r="Y44" s="74">
        <f>SIM_BASE!S114</f>
        <v>196245.21593420487</v>
      </c>
      <c r="Z44" s="74">
        <f>SIM_BASE!T114</f>
        <v>109058.79704999331</v>
      </c>
      <c r="AA44" s="74">
        <f>SIM_BASE!U114</f>
        <v>89701.902446564651</v>
      </c>
      <c r="AB44" s="95">
        <f>SIM_BASE!V114</f>
        <v>131604.99133147139</v>
      </c>
      <c r="AC44" s="75">
        <f>SIM_BASE!W114</f>
        <v>9822.322151920147</v>
      </c>
      <c r="AD44" s="17">
        <v>106092.4</v>
      </c>
      <c r="AE44" s="11">
        <f t="shared" si="25"/>
        <v>25.902895425544465</v>
      </c>
      <c r="AF44" s="13">
        <f t="shared" si="26"/>
        <v>2.96375086926562</v>
      </c>
      <c r="AG44" s="575">
        <f t="shared" si="28"/>
        <v>2428.0788660512371</v>
      </c>
      <c r="AH44" s="370"/>
      <c r="AI44" s="632">
        <f t="shared" si="29"/>
        <v>3.0098905730865368</v>
      </c>
      <c r="AJ44" s="633">
        <f t="shared" si="30"/>
        <v>8.8763632722077119</v>
      </c>
      <c r="AK44" s="633">
        <f t="shared" si="31"/>
        <v>12.529560925122738</v>
      </c>
      <c r="AL44" s="636">
        <f t="shared" si="32"/>
        <v>7.4627339406376052</v>
      </c>
      <c r="AM44" s="497"/>
    </row>
    <row r="45" spans="1:43">
      <c r="A45" s="506">
        <v>2029</v>
      </c>
      <c r="B45" s="167">
        <f>SIM_BASE!B115</f>
        <v>781.51580183436761</v>
      </c>
      <c r="C45" s="74">
        <f>SIM_BASE!C115</f>
        <v>1942.1282826435311</v>
      </c>
      <c r="D45" s="74">
        <f>SIM_BASE!D115</f>
        <v>254.89697227748664</v>
      </c>
      <c r="E45" s="173">
        <f>SIM_BASE!E115</f>
        <v>2978.5410567553854</v>
      </c>
      <c r="F45" s="75">
        <f>SIM_BASE!F115</f>
        <v>7369.6411287932606</v>
      </c>
      <c r="G45" s="167">
        <f>SIM_BASE!G115</f>
        <v>781.51580183436738</v>
      </c>
      <c r="H45" s="74">
        <f>SIM_BASE!H115</f>
        <v>1942.1282826435308</v>
      </c>
      <c r="I45" s="74">
        <f>SIM_BASE!I115</f>
        <v>235.05978604292426</v>
      </c>
      <c r="J45" s="173">
        <f>SIM_BASE!J115</f>
        <v>2958.7038705208224</v>
      </c>
      <c r="K45" s="74">
        <f>SIM_BASE!K115</f>
        <v>321.5464961728041</v>
      </c>
      <c r="L45" s="74">
        <f>SIM_BASE!L115</f>
        <v>22783.051690120788</v>
      </c>
      <c r="M45" s="74">
        <f t="shared" si="27"/>
        <v>9772.7139770268186</v>
      </c>
      <c r="N45" s="503">
        <f>SIM_BASE!M115</f>
        <v>23104.598186293591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19.844186234562361</v>
      </c>
      <c r="R45" s="88">
        <f>IF(SIM_BASE!Q115&gt;0,SIM_BASE!Q115,0)</f>
        <v>19.858186234562361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0</v>
      </c>
      <c r="W45" s="88">
        <f>IF(SIM_BASE!Q115&lt;0,-SIM_BASE!Q115,0)</f>
        <v>0</v>
      </c>
      <c r="X45" s="75">
        <f>IF(SIM_BASE!R115&lt;0,-SIM_BASE!R115,0)</f>
        <v>15734.950057500333</v>
      </c>
      <c r="Y45" s="74">
        <f>SIM_BASE!S115</f>
        <v>206028.36605497953</v>
      </c>
      <c r="Z45" s="74">
        <f>SIM_BASE!T115</f>
        <v>106687.38815075859</v>
      </c>
      <c r="AA45" s="74">
        <f>SIM_BASE!U115</f>
        <v>89829.320909496018</v>
      </c>
      <c r="AB45" s="95">
        <f>SIM_BASE!V115</f>
        <v>131588.11953420393</v>
      </c>
      <c r="AC45" s="75">
        <f>SIM_BASE!W115</f>
        <v>10129.13613866273</v>
      </c>
      <c r="AD45" s="17">
        <v>107308.3</v>
      </c>
      <c r="AE45" s="11">
        <f t="shared" si="25"/>
        <v>27.571994622231667</v>
      </c>
      <c r="AF45" s="13">
        <f t="shared" si="26"/>
        <v>2.9964736760605106</v>
      </c>
      <c r="AG45" s="575">
        <f t="shared" si="28"/>
        <v>2724.619344406362</v>
      </c>
      <c r="AH45" s="370"/>
      <c r="AI45" s="632">
        <f t="shared" si="29"/>
        <v>3.025923655987512</v>
      </c>
      <c r="AJ45" s="633">
        <f t="shared" si="30"/>
        <v>9.4932266484912304</v>
      </c>
      <c r="AK45" s="633">
        <f t="shared" si="31"/>
        <v>17.585343459605767</v>
      </c>
      <c r="AL45" s="636">
        <f t="shared" si="32"/>
        <v>8.3467802729800979</v>
      </c>
      <c r="AM45" s="497"/>
    </row>
    <row r="46" spans="1:43" ht="17" thickBot="1">
      <c r="A46" s="550">
        <v>2030</v>
      </c>
      <c r="B46" s="134">
        <f>SIM_BASE!B116</f>
        <v>805.09795864173816</v>
      </c>
      <c r="C46" s="135">
        <f>SIM_BASE!C116</f>
        <v>2137.7081347832759</v>
      </c>
      <c r="D46" s="135">
        <f>SIM_BASE!D116</f>
        <v>301.74243695974741</v>
      </c>
      <c r="E46" s="551">
        <f>SIM_BASE!E116</f>
        <v>3244.5485303847618</v>
      </c>
      <c r="F46" s="137">
        <f>SIM_BASE!F116</f>
        <v>7961.0311418064266</v>
      </c>
      <c r="G46" s="134">
        <f>SIM_BASE!G116</f>
        <v>805.09795864173816</v>
      </c>
      <c r="H46" s="135">
        <f>SIM_BASE!H116</f>
        <v>2137.7081347832755</v>
      </c>
      <c r="I46" s="135">
        <f>SIM_BASE!I116</f>
        <v>258.46176944510728</v>
      </c>
      <c r="J46" s="551">
        <f>SIM_BASE!J116</f>
        <v>3201.2678628701206</v>
      </c>
      <c r="K46" s="135">
        <f>SIM_BASE!K116</f>
        <v>327.22402398827313</v>
      </c>
      <c r="L46" s="135">
        <f>SIM_BASE!L116</f>
        <v>24721.413336505739</v>
      </c>
      <c r="M46" s="135">
        <f t="shared" si="27"/>
        <v>10714.202983805168</v>
      </c>
      <c r="N46" s="552">
        <f>SIM_BASE!M116</f>
        <v>25048.637360494013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43.287667514640198</v>
      </c>
      <c r="R46" s="603">
        <f>IF(SIM_BASE!Q116&gt;0,SIM_BASE!Q116,0)</f>
        <v>43.301667514640201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0</v>
      </c>
      <c r="W46" s="603">
        <f>IF(SIM_BASE!Q116&lt;0,-SIM_BASE!Q116,0)</f>
        <v>0</v>
      </c>
      <c r="X46" s="137">
        <f>IF(SIM_BASE!R116&lt;0,-SIM_BASE!R116,0)</f>
        <v>17087.599218687588</v>
      </c>
      <c r="Y46" s="135">
        <f>SIM_BASE!S116</f>
        <v>208475.159696341</v>
      </c>
      <c r="Z46" s="135">
        <f>SIM_BASE!T116</f>
        <v>106441.39774944591</v>
      </c>
      <c r="AA46" s="135">
        <f>SIM_BASE!U116</f>
        <v>89664.607340177987</v>
      </c>
      <c r="AB46" s="136">
        <f>SIM_BASE!V116</f>
        <v>130747.70945290678</v>
      </c>
      <c r="AC46" s="137">
        <f>SIM_BASE!W116</f>
        <v>10179.091594748372</v>
      </c>
      <c r="AD46" s="553">
        <v>108538.2</v>
      </c>
      <c r="AE46" s="554">
        <f t="shared" si="25"/>
        <v>29.494388730144045</v>
      </c>
      <c r="AF46" s="555">
        <f t="shared" si="26"/>
        <v>3.0148281802008245</v>
      </c>
      <c r="AG46" s="577">
        <f t="shared" si="28"/>
        <v>3080.3958659870141</v>
      </c>
      <c r="AH46" s="370"/>
      <c r="AI46" s="634">
        <f t="shared" si="29"/>
        <v>3.0174894419304934</v>
      </c>
      <c r="AJ46" s="635">
        <f t="shared" si="30"/>
        <v>10.070387928933869</v>
      </c>
      <c r="AK46" s="635">
        <f t="shared" si="31"/>
        <v>18.378195811311457</v>
      </c>
      <c r="AL46" s="637">
        <f t="shared" si="32"/>
        <v>8.9307976140220262</v>
      </c>
      <c r="AM46" s="497"/>
    </row>
    <row r="47" spans="1:43"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451"/>
      <c r="P47" s="451"/>
      <c r="Q47" s="369"/>
      <c r="R47" s="369"/>
      <c r="S47" s="451"/>
      <c r="T47" s="451"/>
      <c r="U47" s="451"/>
      <c r="V47" s="451"/>
      <c r="W47" s="451"/>
      <c r="X47" s="369"/>
      <c r="Y47" s="369"/>
      <c r="Z47" s="369"/>
      <c r="AA47" s="369"/>
      <c r="AB47" s="369"/>
      <c r="AC47" s="369"/>
      <c r="AD47" s="369"/>
      <c r="AE47" s="369"/>
      <c r="AF47" s="369"/>
      <c r="AG47" s="369"/>
      <c r="AH47" s="58"/>
      <c r="AI47" s="58"/>
      <c r="AJ47" s="58"/>
    </row>
    <row r="48" spans="1:43" ht="17" thickBot="1">
      <c r="A48" s="357" t="s">
        <v>78</v>
      </c>
      <c r="B48" s="182"/>
      <c r="D48" s="356" t="s">
        <v>159</v>
      </c>
      <c r="M48" s="568"/>
      <c r="Q48" s="451"/>
      <c r="AH48" s="58"/>
      <c r="AI48" s="58"/>
    </row>
    <row r="49" spans="1:35">
      <c r="A49" s="183" t="s">
        <v>79</v>
      </c>
      <c r="B49" s="533">
        <v>1.0793699999999999</v>
      </c>
      <c r="D49" s="356" t="s">
        <v>162</v>
      </c>
      <c r="AH49" s="58"/>
      <c r="AI49" s="58"/>
    </row>
    <row r="50" spans="1:35">
      <c r="A50" s="184" t="s">
        <v>80</v>
      </c>
      <c r="B50" s="534">
        <v>1.0878099999999999</v>
      </c>
      <c r="D50" s="356" t="s">
        <v>163</v>
      </c>
      <c r="AH50" s="58"/>
      <c r="AI50" s="58"/>
    </row>
    <row r="51" spans="1:35" ht="17" thickBot="1">
      <c r="A51" s="185" t="s">
        <v>81</v>
      </c>
      <c r="B51" s="535">
        <v>2.1283300000000001</v>
      </c>
      <c r="D51" s="356" t="s">
        <v>164</v>
      </c>
      <c r="AH51" s="58"/>
      <c r="AI51" s="58"/>
    </row>
    <row r="52" spans="1:35">
      <c r="AH52" s="58"/>
      <c r="AI52" s="58"/>
    </row>
    <row r="53" spans="1:35" ht="17" thickBot="1">
      <c r="A53" s="355" t="s">
        <v>82</v>
      </c>
      <c r="B53" s="190"/>
      <c r="C53" s="181"/>
      <c r="D53" s="181"/>
      <c r="AH53" s="58"/>
      <c r="AI53" s="58"/>
    </row>
    <row r="54" spans="1:35" ht="17" thickBot="1">
      <c r="A54" s="178"/>
      <c r="B54" s="191" t="s">
        <v>87</v>
      </c>
      <c r="C54" s="191" t="s">
        <v>83</v>
      </c>
      <c r="D54" s="178" t="s">
        <v>84</v>
      </c>
      <c r="AH54" s="58"/>
      <c r="AI54" s="58"/>
    </row>
    <row r="55" spans="1:35">
      <c r="A55" s="192" t="s">
        <v>169</v>
      </c>
      <c r="B55" s="530">
        <v>0.39300000000000002</v>
      </c>
      <c r="D55" s="362"/>
      <c r="AH55" s="58"/>
      <c r="AI55" s="58"/>
    </row>
    <row r="56" spans="1:35">
      <c r="A56" s="192" t="s">
        <v>85</v>
      </c>
      <c r="B56" s="531">
        <v>1.2470000000000001</v>
      </c>
      <c r="C56" s="193"/>
      <c r="D56" s="194"/>
    </row>
    <row r="57" spans="1:35">
      <c r="A57" s="192" t="s">
        <v>88</v>
      </c>
      <c r="B57" s="531">
        <v>1.375</v>
      </c>
      <c r="C57" s="193"/>
      <c r="D57" s="194"/>
    </row>
    <row r="58" spans="1:35" ht="17" thickBot="1">
      <c r="A58" s="195" t="s">
        <v>86</v>
      </c>
      <c r="B58" s="532">
        <v>1.5129999999999999</v>
      </c>
      <c r="C58" s="196"/>
      <c r="D58" s="197"/>
    </row>
    <row r="60" spans="1:35" ht="17" thickBot="1">
      <c r="A60" s="359" t="s">
        <v>216</v>
      </c>
    </row>
    <row r="61" spans="1:35" ht="18" thickBot="1">
      <c r="A61" s="498"/>
      <c r="B61" s="500" t="s">
        <v>212</v>
      </c>
      <c r="C61" s="499" t="s">
        <v>215</v>
      </c>
    </row>
    <row r="62" spans="1:35">
      <c r="A62" s="362" t="s">
        <v>40</v>
      </c>
      <c r="B62" s="529">
        <v>3.8</v>
      </c>
      <c r="C62" s="471">
        <v>0.3</v>
      </c>
      <c r="G62" s="452"/>
      <c r="H62" s="452"/>
      <c r="I62" s="452"/>
      <c r="J62" s="452"/>
      <c r="K62" s="452"/>
      <c r="L62" s="452"/>
      <c r="M62" s="452"/>
      <c r="N62" s="452"/>
      <c r="O62" s="246"/>
      <c r="P62" s="246"/>
      <c r="Q62" s="246"/>
      <c r="R62" s="246"/>
      <c r="S62" s="246"/>
      <c r="X62" s="246"/>
      <c r="Y62" s="246"/>
      <c r="Z62" s="246"/>
      <c r="AA62" s="246"/>
      <c r="AB62" s="246"/>
      <c r="AC62" s="246"/>
      <c r="AD62" s="451"/>
      <c r="AE62" s="451"/>
      <c r="AF62" s="451"/>
      <c r="AG62" s="451"/>
      <c r="AH62" s="451"/>
    </row>
    <row r="63" spans="1:35">
      <c r="A63" s="501" t="s">
        <v>41</v>
      </c>
      <c r="B63" s="529">
        <v>3</v>
      </c>
      <c r="C63" s="471">
        <v>0.6</v>
      </c>
      <c r="G63" s="452"/>
      <c r="H63" s="452"/>
      <c r="I63" s="452"/>
      <c r="J63" s="452"/>
      <c r="K63" s="452"/>
      <c r="L63" s="452"/>
      <c r="M63" s="452"/>
      <c r="N63" s="452"/>
      <c r="O63" s="246"/>
      <c r="P63" s="246"/>
      <c r="Q63" s="246"/>
      <c r="R63" s="246"/>
      <c r="S63" s="246"/>
      <c r="X63" s="246"/>
      <c r="Y63" s="246"/>
      <c r="Z63" s="246"/>
      <c r="AA63" s="246"/>
      <c r="AB63" s="246"/>
      <c r="AC63" s="246"/>
    </row>
    <row r="64" spans="1:35" ht="17" thickBot="1">
      <c r="A64" s="502" t="s">
        <v>42</v>
      </c>
      <c r="B64" s="479">
        <v>2.8</v>
      </c>
      <c r="C64" s="469">
        <v>0.7</v>
      </c>
    </row>
    <row r="65" spans="1:6">
      <c r="A65" s="356" t="s">
        <v>213</v>
      </c>
      <c r="D65" s="452"/>
      <c r="E65" s="452"/>
      <c r="F65" s="452"/>
    </row>
    <row r="66" spans="1:6">
      <c r="A66" s="356" t="s">
        <v>214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A5:P28"/>
  <sheetViews>
    <sheetView topLeftCell="J1" zoomScale="80" zoomScaleNormal="80" workbookViewId="0">
      <selection activeCell="V19" sqref="V19"/>
    </sheetView>
  </sheetViews>
  <sheetFormatPr baseColWidth="10" defaultColWidth="8.83203125" defaultRowHeight="16"/>
  <cols>
    <col min="1" max="16384" width="8.83203125" style="283"/>
  </cols>
  <sheetData>
    <row r="5" spans="16:16">
      <c r="P5" s="226"/>
    </row>
    <row r="6" spans="16:16">
      <c r="P6" s="226"/>
    </row>
    <row r="18" spans="1:10">
      <c r="A18" s="226" t="s">
        <v>152</v>
      </c>
      <c r="B18" s="226"/>
    </row>
    <row r="19" spans="1:10">
      <c r="A19" s="226" t="s">
        <v>153</v>
      </c>
      <c r="B19" s="226"/>
    </row>
    <row r="20" spans="1:10">
      <c r="A20" s="226" t="s">
        <v>154</v>
      </c>
      <c r="B20" s="226"/>
    </row>
    <row r="24" spans="1:10">
      <c r="I24" s="226" t="s">
        <v>155</v>
      </c>
      <c r="J24" s="226"/>
    </row>
    <row r="25" spans="1:10">
      <c r="I25" s="226" t="s">
        <v>156</v>
      </c>
      <c r="J25" s="226"/>
    </row>
    <row r="26" spans="1:10">
      <c r="I26" s="226" t="s">
        <v>157</v>
      </c>
      <c r="J26" s="226"/>
    </row>
    <row r="27" spans="1:10">
      <c r="I27" s="226" t="s">
        <v>158</v>
      </c>
      <c r="J27" s="226"/>
    </row>
    <row r="28" spans="1:10">
      <c r="I28" s="226" t="s">
        <v>233</v>
      </c>
      <c r="J28" s="2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92"/>
  <sheetViews>
    <sheetView zoomScale="80" zoomScaleNormal="80" workbookViewId="0">
      <pane xSplit="3" ySplit="6" topLeftCell="D31" activePane="bottomRight" state="frozen"/>
      <selection pane="topRight" activeCell="D1" sqref="D1"/>
      <selection pane="bottomLeft" activeCell="A7" sqref="A7"/>
      <selection pane="bottomRight" activeCell="M34" sqref="M34"/>
    </sheetView>
  </sheetViews>
  <sheetFormatPr baseColWidth="10" defaultColWidth="8.83203125" defaultRowHeight="16"/>
  <cols>
    <col min="1" max="1" width="8.33203125" style="181" customWidth="1"/>
    <col min="2" max="2" width="6.5" style="181" bestFit="1" customWidth="1"/>
    <col min="3" max="3" width="5.33203125" style="181" bestFit="1" customWidth="1"/>
    <col min="4" max="5" width="7.83203125" style="181" bestFit="1" customWidth="1"/>
    <col min="6" max="6" width="6.83203125" style="181" customWidth="1"/>
    <col min="7" max="7" width="10.33203125" style="181" bestFit="1" customWidth="1"/>
    <col min="8" max="8" width="7.33203125" style="181" customWidth="1"/>
    <col min="9" max="9" width="7.83203125" style="181" bestFit="1" customWidth="1"/>
    <col min="10" max="10" width="6.33203125" style="181" bestFit="1" customWidth="1"/>
    <col min="11" max="12" width="6.83203125" style="181" bestFit="1" customWidth="1"/>
    <col min="13" max="13" width="5.83203125" style="181" bestFit="1" customWidth="1"/>
    <col min="14" max="14" width="6.83203125" style="181" bestFit="1" customWidth="1"/>
    <col min="15" max="15" width="6.83203125" style="181" customWidth="1"/>
    <col min="16" max="16" width="6.83203125" style="181" bestFit="1" customWidth="1"/>
    <col min="17" max="17" width="5.33203125" style="181" customWidth="1"/>
    <col min="18" max="18" width="5.5" style="181" customWidth="1"/>
    <col min="19" max="19" width="5.33203125" style="181" customWidth="1"/>
    <col min="20" max="20" width="6" style="181" customWidth="1"/>
    <col min="21" max="21" width="5" style="181" customWidth="1"/>
    <col min="22" max="22" width="5.83203125" style="181" customWidth="1"/>
    <col min="23" max="23" width="7.33203125" style="181" customWidth="1"/>
    <col min="24" max="27" width="6.33203125" style="181" customWidth="1"/>
    <col min="28" max="28" width="7.33203125" style="283" customWidth="1"/>
    <col min="29" max="29" width="6.33203125" style="283" customWidth="1"/>
    <col min="30" max="30" width="6" style="181" customWidth="1"/>
    <col min="31" max="31" width="4.83203125" style="181" customWidth="1"/>
    <col min="32" max="32" width="6" style="181" customWidth="1"/>
    <col min="33" max="33" width="5.33203125" style="181" customWidth="1"/>
    <col min="34" max="34" width="6" style="181" customWidth="1"/>
    <col min="35" max="35" width="5.83203125" style="181" customWidth="1"/>
    <col min="36" max="37" width="5.83203125" style="283" customWidth="1"/>
    <col min="38" max="38" width="6" style="181" customWidth="1"/>
    <col min="39" max="39" width="4.83203125" style="181" customWidth="1"/>
    <col min="40" max="40" width="6" style="181" customWidth="1"/>
    <col min="41" max="41" width="4.83203125" style="181" customWidth="1"/>
    <col min="42" max="42" width="6" style="181" customWidth="1"/>
    <col min="43" max="43" width="5.83203125" style="181" customWidth="1"/>
    <col min="44" max="44" width="6" style="181" customWidth="1"/>
    <col min="45" max="45" width="4.83203125" style="181" customWidth="1"/>
    <col min="46" max="46" width="6" style="181" customWidth="1"/>
    <col min="47" max="47" width="4.83203125" style="181" customWidth="1"/>
    <col min="48" max="48" width="6" style="181" customWidth="1"/>
    <col min="49" max="49" width="5.33203125" style="181" customWidth="1"/>
    <col min="50" max="50" width="5.33203125" style="225" hidden="1" customWidth="1"/>
    <col min="51" max="51" width="5.33203125" style="1" hidden="1" customWidth="1"/>
    <col min="52" max="52" width="5.33203125" style="225" hidden="1" customWidth="1"/>
    <col min="53" max="53" width="5.33203125" style="181" hidden="1" customWidth="1"/>
    <col min="54" max="54" width="4.6640625" style="181" hidden="1" customWidth="1"/>
    <col min="55" max="55" width="4.83203125" style="181" hidden="1" customWidth="1"/>
    <col min="56" max="56" width="5.1640625" style="181" hidden="1" customWidth="1"/>
    <col min="57" max="57" width="5.33203125" style="181" hidden="1" customWidth="1"/>
    <col min="58" max="60" width="5.83203125" style="181" hidden="1" customWidth="1"/>
    <col min="61" max="61" width="6.83203125" style="181" bestFit="1" customWidth="1"/>
    <col min="62" max="62" width="5.83203125" style="181" bestFit="1" customWidth="1"/>
    <col min="63" max="260" width="8.83203125" style="181"/>
    <col min="261" max="261" width="8.33203125" style="181" customWidth="1"/>
    <col min="262" max="262" width="7" style="181" customWidth="1"/>
    <col min="263" max="263" width="5.33203125" style="181" bestFit="1" customWidth="1"/>
    <col min="264" max="264" width="6.83203125" style="181" bestFit="1" customWidth="1"/>
    <col min="265" max="265" width="7.83203125" style="181" bestFit="1" customWidth="1"/>
    <col min="266" max="267" width="6.83203125" style="181" customWidth="1"/>
    <col min="268" max="268" width="8.5" style="181" customWidth="1"/>
    <col min="269" max="269" width="9" style="181" customWidth="1"/>
    <col min="270" max="270" width="5.83203125" style="181" bestFit="1" customWidth="1"/>
    <col min="271" max="271" width="6.33203125" style="181" bestFit="1" customWidth="1"/>
    <col min="272" max="272" width="5.6640625" style="181" bestFit="1" customWidth="1"/>
    <col min="273" max="273" width="4.83203125" style="181" bestFit="1" customWidth="1"/>
    <col min="274" max="274" width="5.6640625" style="181" bestFit="1" customWidth="1"/>
    <col min="275" max="275" width="4.83203125" style="181" bestFit="1" customWidth="1"/>
    <col min="276" max="276" width="4.33203125" style="181" bestFit="1" customWidth="1"/>
    <col min="277" max="277" width="5.33203125" style="181" bestFit="1" customWidth="1"/>
    <col min="278" max="278" width="5.5" style="181" customWidth="1"/>
    <col min="279" max="279" width="5.33203125" style="181" bestFit="1" customWidth="1"/>
    <col min="280" max="280" width="6" style="181" customWidth="1"/>
    <col min="281" max="281" width="5" style="181" customWidth="1"/>
    <col min="282" max="282" width="5.83203125" style="181" customWidth="1"/>
    <col min="283" max="283" width="7.33203125" style="181" bestFit="1" customWidth="1"/>
    <col min="284" max="285" width="6.33203125" style="181" bestFit="1" customWidth="1"/>
    <col min="286" max="295" width="6.33203125" style="181" customWidth="1"/>
    <col min="296" max="296" width="7.1640625" style="181" bestFit="1" customWidth="1"/>
    <col min="297" max="297" width="4.5" style="181" bestFit="1" customWidth="1"/>
    <col min="298" max="298" width="6.6640625" style="181" customWidth="1"/>
    <col min="299" max="299" width="5.83203125" style="181" bestFit="1" customWidth="1"/>
    <col min="300" max="300" width="5.6640625" style="181" bestFit="1" customWidth="1"/>
    <col min="301" max="301" width="4.83203125" style="181" bestFit="1" customWidth="1"/>
    <col min="302" max="302" width="5.6640625" style="181" bestFit="1" customWidth="1"/>
    <col min="303" max="303" width="4.83203125" style="181" bestFit="1" customWidth="1"/>
    <col min="304" max="304" width="5.6640625" style="181" bestFit="1" customWidth="1"/>
    <col min="305" max="305" width="5.33203125" style="181" bestFit="1" customWidth="1"/>
    <col min="306" max="306" width="6.33203125" style="181" bestFit="1" customWidth="1"/>
    <col min="307" max="307" width="8.83203125" style="181" customWidth="1"/>
    <col min="308" max="318" width="5.83203125" style="181" bestFit="1" customWidth="1"/>
    <col min="319" max="516" width="8.83203125" style="181"/>
    <col min="517" max="517" width="8.33203125" style="181" customWidth="1"/>
    <col min="518" max="518" width="7" style="181" customWidth="1"/>
    <col min="519" max="519" width="5.33203125" style="181" bestFit="1" customWidth="1"/>
    <col min="520" max="520" width="6.83203125" style="181" bestFit="1" customWidth="1"/>
    <col min="521" max="521" width="7.83203125" style="181" bestFit="1" customWidth="1"/>
    <col min="522" max="523" width="6.83203125" style="181" customWidth="1"/>
    <col min="524" max="524" width="8.5" style="181" customWidth="1"/>
    <col min="525" max="525" width="9" style="181" customWidth="1"/>
    <col min="526" max="526" width="5.83203125" style="181" bestFit="1" customWidth="1"/>
    <col min="527" max="527" width="6.33203125" style="181" bestFit="1" customWidth="1"/>
    <col min="528" max="528" width="5.6640625" style="181" bestFit="1" customWidth="1"/>
    <col min="529" max="529" width="4.83203125" style="181" bestFit="1" customWidth="1"/>
    <col min="530" max="530" width="5.6640625" style="181" bestFit="1" customWidth="1"/>
    <col min="531" max="531" width="4.83203125" style="181" bestFit="1" customWidth="1"/>
    <col min="532" max="532" width="4.33203125" style="181" bestFit="1" customWidth="1"/>
    <col min="533" max="533" width="5.33203125" style="181" bestFit="1" customWidth="1"/>
    <col min="534" max="534" width="5.5" style="181" customWidth="1"/>
    <col min="535" max="535" width="5.33203125" style="181" bestFit="1" customWidth="1"/>
    <col min="536" max="536" width="6" style="181" customWidth="1"/>
    <col min="537" max="537" width="5" style="181" customWidth="1"/>
    <col min="538" max="538" width="5.83203125" style="181" customWidth="1"/>
    <col min="539" max="539" width="7.33203125" style="181" bestFit="1" customWidth="1"/>
    <col min="540" max="541" width="6.33203125" style="181" bestFit="1" customWidth="1"/>
    <col min="542" max="551" width="6.33203125" style="181" customWidth="1"/>
    <col min="552" max="552" width="7.1640625" style="181" bestFit="1" customWidth="1"/>
    <col min="553" max="553" width="4.5" style="181" bestFit="1" customWidth="1"/>
    <col min="554" max="554" width="6.6640625" style="181" customWidth="1"/>
    <col min="555" max="555" width="5.83203125" style="181" bestFit="1" customWidth="1"/>
    <col min="556" max="556" width="5.6640625" style="181" bestFit="1" customWidth="1"/>
    <col min="557" max="557" width="4.83203125" style="181" bestFit="1" customWidth="1"/>
    <col min="558" max="558" width="5.6640625" style="181" bestFit="1" customWidth="1"/>
    <col min="559" max="559" width="4.83203125" style="181" bestFit="1" customWidth="1"/>
    <col min="560" max="560" width="5.6640625" style="181" bestFit="1" customWidth="1"/>
    <col min="561" max="561" width="5.33203125" style="181" bestFit="1" customWidth="1"/>
    <col min="562" max="562" width="6.33203125" style="181" bestFit="1" customWidth="1"/>
    <col min="563" max="563" width="8.83203125" style="181" customWidth="1"/>
    <col min="564" max="574" width="5.83203125" style="181" bestFit="1" customWidth="1"/>
    <col min="575" max="772" width="8.83203125" style="181"/>
    <col min="773" max="773" width="8.33203125" style="181" customWidth="1"/>
    <col min="774" max="774" width="7" style="181" customWidth="1"/>
    <col min="775" max="775" width="5.33203125" style="181" bestFit="1" customWidth="1"/>
    <col min="776" max="776" width="6.83203125" style="181" bestFit="1" customWidth="1"/>
    <col min="777" max="777" width="7.83203125" style="181" bestFit="1" customWidth="1"/>
    <col min="778" max="779" width="6.83203125" style="181" customWidth="1"/>
    <col min="780" max="780" width="8.5" style="181" customWidth="1"/>
    <col min="781" max="781" width="9" style="181" customWidth="1"/>
    <col min="782" max="782" width="5.83203125" style="181" bestFit="1" customWidth="1"/>
    <col min="783" max="783" width="6.33203125" style="181" bestFit="1" customWidth="1"/>
    <col min="784" max="784" width="5.6640625" style="181" bestFit="1" customWidth="1"/>
    <col min="785" max="785" width="4.83203125" style="181" bestFit="1" customWidth="1"/>
    <col min="786" max="786" width="5.6640625" style="181" bestFit="1" customWidth="1"/>
    <col min="787" max="787" width="4.83203125" style="181" bestFit="1" customWidth="1"/>
    <col min="788" max="788" width="4.33203125" style="181" bestFit="1" customWidth="1"/>
    <col min="789" max="789" width="5.33203125" style="181" bestFit="1" customWidth="1"/>
    <col min="790" max="790" width="5.5" style="181" customWidth="1"/>
    <col min="791" max="791" width="5.33203125" style="181" bestFit="1" customWidth="1"/>
    <col min="792" max="792" width="6" style="181" customWidth="1"/>
    <col min="793" max="793" width="5" style="181" customWidth="1"/>
    <col min="794" max="794" width="5.83203125" style="181" customWidth="1"/>
    <col min="795" max="795" width="7.33203125" style="181" bestFit="1" customWidth="1"/>
    <col min="796" max="797" width="6.33203125" style="181" bestFit="1" customWidth="1"/>
    <col min="798" max="807" width="6.33203125" style="181" customWidth="1"/>
    <col min="808" max="808" width="7.1640625" style="181" bestFit="1" customWidth="1"/>
    <col min="809" max="809" width="4.5" style="181" bestFit="1" customWidth="1"/>
    <col min="810" max="810" width="6.6640625" style="181" customWidth="1"/>
    <col min="811" max="811" width="5.83203125" style="181" bestFit="1" customWidth="1"/>
    <col min="812" max="812" width="5.6640625" style="181" bestFit="1" customWidth="1"/>
    <col min="813" max="813" width="4.83203125" style="181" bestFit="1" customWidth="1"/>
    <col min="814" max="814" width="5.6640625" style="181" bestFit="1" customWidth="1"/>
    <col min="815" max="815" width="4.83203125" style="181" bestFit="1" customWidth="1"/>
    <col min="816" max="816" width="5.6640625" style="181" bestFit="1" customWidth="1"/>
    <col min="817" max="817" width="5.33203125" style="181" bestFit="1" customWidth="1"/>
    <col min="818" max="818" width="6.33203125" style="181" bestFit="1" customWidth="1"/>
    <col min="819" max="819" width="8.83203125" style="181" customWidth="1"/>
    <col min="820" max="830" width="5.83203125" style="181" bestFit="1" customWidth="1"/>
    <col min="831" max="1028" width="8.83203125" style="181"/>
    <col min="1029" max="1029" width="8.33203125" style="181" customWidth="1"/>
    <col min="1030" max="1030" width="7" style="181" customWidth="1"/>
    <col min="1031" max="1031" width="5.33203125" style="181" bestFit="1" customWidth="1"/>
    <col min="1032" max="1032" width="6.83203125" style="181" bestFit="1" customWidth="1"/>
    <col min="1033" max="1033" width="7.83203125" style="181" bestFit="1" customWidth="1"/>
    <col min="1034" max="1035" width="6.83203125" style="181" customWidth="1"/>
    <col min="1036" max="1036" width="8.5" style="181" customWidth="1"/>
    <col min="1037" max="1037" width="9" style="181" customWidth="1"/>
    <col min="1038" max="1038" width="5.83203125" style="181" bestFit="1" customWidth="1"/>
    <col min="1039" max="1039" width="6.33203125" style="181" bestFit="1" customWidth="1"/>
    <col min="1040" max="1040" width="5.6640625" style="181" bestFit="1" customWidth="1"/>
    <col min="1041" max="1041" width="4.83203125" style="181" bestFit="1" customWidth="1"/>
    <col min="1042" max="1042" width="5.6640625" style="181" bestFit="1" customWidth="1"/>
    <col min="1043" max="1043" width="4.83203125" style="181" bestFit="1" customWidth="1"/>
    <col min="1044" max="1044" width="4.33203125" style="181" bestFit="1" customWidth="1"/>
    <col min="1045" max="1045" width="5.33203125" style="181" bestFit="1" customWidth="1"/>
    <col min="1046" max="1046" width="5.5" style="181" customWidth="1"/>
    <col min="1047" max="1047" width="5.33203125" style="181" bestFit="1" customWidth="1"/>
    <col min="1048" max="1048" width="6" style="181" customWidth="1"/>
    <col min="1049" max="1049" width="5" style="181" customWidth="1"/>
    <col min="1050" max="1050" width="5.83203125" style="181" customWidth="1"/>
    <col min="1051" max="1051" width="7.33203125" style="181" bestFit="1" customWidth="1"/>
    <col min="1052" max="1053" width="6.33203125" style="181" bestFit="1" customWidth="1"/>
    <col min="1054" max="1063" width="6.33203125" style="181" customWidth="1"/>
    <col min="1064" max="1064" width="7.1640625" style="181" bestFit="1" customWidth="1"/>
    <col min="1065" max="1065" width="4.5" style="181" bestFit="1" customWidth="1"/>
    <col min="1066" max="1066" width="6.6640625" style="181" customWidth="1"/>
    <col min="1067" max="1067" width="5.83203125" style="181" bestFit="1" customWidth="1"/>
    <col min="1068" max="1068" width="5.6640625" style="181" bestFit="1" customWidth="1"/>
    <col min="1069" max="1069" width="4.83203125" style="181" bestFit="1" customWidth="1"/>
    <col min="1070" max="1070" width="5.6640625" style="181" bestFit="1" customWidth="1"/>
    <col min="1071" max="1071" width="4.83203125" style="181" bestFit="1" customWidth="1"/>
    <col min="1072" max="1072" width="5.6640625" style="181" bestFit="1" customWidth="1"/>
    <col min="1073" max="1073" width="5.33203125" style="181" bestFit="1" customWidth="1"/>
    <col min="1074" max="1074" width="6.33203125" style="181" bestFit="1" customWidth="1"/>
    <col min="1075" max="1075" width="8.83203125" style="181" customWidth="1"/>
    <col min="1076" max="1086" width="5.83203125" style="181" bestFit="1" customWidth="1"/>
    <col min="1087" max="1284" width="8.83203125" style="181"/>
    <col min="1285" max="1285" width="8.33203125" style="181" customWidth="1"/>
    <col min="1286" max="1286" width="7" style="181" customWidth="1"/>
    <col min="1287" max="1287" width="5.33203125" style="181" bestFit="1" customWidth="1"/>
    <col min="1288" max="1288" width="6.83203125" style="181" bestFit="1" customWidth="1"/>
    <col min="1289" max="1289" width="7.83203125" style="181" bestFit="1" customWidth="1"/>
    <col min="1290" max="1291" width="6.83203125" style="181" customWidth="1"/>
    <col min="1292" max="1292" width="8.5" style="181" customWidth="1"/>
    <col min="1293" max="1293" width="9" style="181" customWidth="1"/>
    <col min="1294" max="1294" width="5.83203125" style="181" bestFit="1" customWidth="1"/>
    <col min="1295" max="1295" width="6.33203125" style="181" bestFit="1" customWidth="1"/>
    <col min="1296" max="1296" width="5.6640625" style="181" bestFit="1" customWidth="1"/>
    <col min="1297" max="1297" width="4.83203125" style="181" bestFit="1" customWidth="1"/>
    <col min="1298" max="1298" width="5.6640625" style="181" bestFit="1" customWidth="1"/>
    <col min="1299" max="1299" width="4.83203125" style="181" bestFit="1" customWidth="1"/>
    <col min="1300" max="1300" width="4.33203125" style="181" bestFit="1" customWidth="1"/>
    <col min="1301" max="1301" width="5.33203125" style="181" bestFit="1" customWidth="1"/>
    <col min="1302" max="1302" width="5.5" style="181" customWidth="1"/>
    <col min="1303" max="1303" width="5.33203125" style="181" bestFit="1" customWidth="1"/>
    <col min="1304" max="1304" width="6" style="181" customWidth="1"/>
    <col min="1305" max="1305" width="5" style="181" customWidth="1"/>
    <col min="1306" max="1306" width="5.83203125" style="181" customWidth="1"/>
    <col min="1307" max="1307" width="7.33203125" style="181" bestFit="1" customWidth="1"/>
    <col min="1308" max="1309" width="6.33203125" style="181" bestFit="1" customWidth="1"/>
    <col min="1310" max="1319" width="6.33203125" style="181" customWidth="1"/>
    <col min="1320" max="1320" width="7.1640625" style="181" bestFit="1" customWidth="1"/>
    <col min="1321" max="1321" width="4.5" style="181" bestFit="1" customWidth="1"/>
    <col min="1322" max="1322" width="6.6640625" style="181" customWidth="1"/>
    <col min="1323" max="1323" width="5.83203125" style="181" bestFit="1" customWidth="1"/>
    <col min="1324" max="1324" width="5.6640625" style="181" bestFit="1" customWidth="1"/>
    <col min="1325" max="1325" width="4.83203125" style="181" bestFit="1" customWidth="1"/>
    <col min="1326" max="1326" width="5.6640625" style="181" bestFit="1" customWidth="1"/>
    <col min="1327" max="1327" width="4.83203125" style="181" bestFit="1" customWidth="1"/>
    <col min="1328" max="1328" width="5.6640625" style="181" bestFit="1" customWidth="1"/>
    <col min="1329" max="1329" width="5.33203125" style="181" bestFit="1" customWidth="1"/>
    <col min="1330" max="1330" width="6.33203125" style="181" bestFit="1" customWidth="1"/>
    <col min="1331" max="1331" width="8.83203125" style="181" customWidth="1"/>
    <col min="1332" max="1342" width="5.83203125" style="181" bestFit="1" customWidth="1"/>
    <col min="1343" max="1540" width="8.83203125" style="181"/>
    <col min="1541" max="1541" width="8.33203125" style="181" customWidth="1"/>
    <col min="1542" max="1542" width="7" style="181" customWidth="1"/>
    <col min="1543" max="1543" width="5.33203125" style="181" bestFit="1" customWidth="1"/>
    <col min="1544" max="1544" width="6.83203125" style="181" bestFit="1" customWidth="1"/>
    <col min="1545" max="1545" width="7.83203125" style="181" bestFit="1" customWidth="1"/>
    <col min="1546" max="1547" width="6.83203125" style="181" customWidth="1"/>
    <col min="1548" max="1548" width="8.5" style="181" customWidth="1"/>
    <col min="1549" max="1549" width="9" style="181" customWidth="1"/>
    <col min="1550" max="1550" width="5.83203125" style="181" bestFit="1" customWidth="1"/>
    <col min="1551" max="1551" width="6.33203125" style="181" bestFit="1" customWidth="1"/>
    <col min="1552" max="1552" width="5.6640625" style="181" bestFit="1" customWidth="1"/>
    <col min="1553" max="1553" width="4.83203125" style="181" bestFit="1" customWidth="1"/>
    <col min="1554" max="1554" width="5.6640625" style="181" bestFit="1" customWidth="1"/>
    <col min="1555" max="1555" width="4.83203125" style="181" bestFit="1" customWidth="1"/>
    <col min="1556" max="1556" width="4.33203125" style="181" bestFit="1" customWidth="1"/>
    <col min="1557" max="1557" width="5.33203125" style="181" bestFit="1" customWidth="1"/>
    <col min="1558" max="1558" width="5.5" style="181" customWidth="1"/>
    <col min="1559" max="1559" width="5.33203125" style="181" bestFit="1" customWidth="1"/>
    <col min="1560" max="1560" width="6" style="181" customWidth="1"/>
    <col min="1561" max="1561" width="5" style="181" customWidth="1"/>
    <col min="1562" max="1562" width="5.83203125" style="181" customWidth="1"/>
    <col min="1563" max="1563" width="7.33203125" style="181" bestFit="1" customWidth="1"/>
    <col min="1564" max="1565" width="6.33203125" style="181" bestFit="1" customWidth="1"/>
    <col min="1566" max="1575" width="6.33203125" style="181" customWidth="1"/>
    <col min="1576" max="1576" width="7.1640625" style="181" bestFit="1" customWidth="1"/>
    <col min="1577" max="1577" width="4.5" style="181" bestFit="1" customWidth="1"/>
    <col min="1578" max="1578" width="6.6640625" style="181" customWidth="1"/>
    <col min="1579" max="1579" width="5.83203125" style="181" bestFit="1" customWidth="1"/>
    <col min="1580" max="1580" width="5.6640625" style="181" bestFit="1" customWidth="1"/>
    <col min="1581" max="1581" width="4.83203125" style="181" bestFit="1" customWidth="1"/>
    <col min="1582" max="1582" width="5.6640625" style="181" bestFit="1" customWidth="1"/>
    <col min="1583" max="1583" width="4.83203125" style="181" bestFit="1" customWidth="1"/>
    <col min="1584" max="1584" width="5.6640625" style="181" bestFit="1" customWidth="1"/>
    <col min="1585" max="1585" width="5.33203125" style="181" bestFit="1" customWidth="1"/>
    <col min="1586" max="1586" width="6.33203125" style="181" bestFit="1" customWidth="1"/>
    <col min="1587" max="1587" width="8.83203125" style="181" customWidth="1"/>
    <col min="1588" max="1598" width="5.83203125" style="181" bestFit="1" customWidth="1"/>
    <col min="1599" max="1796" width="8.83203125" style="181"/>
    <col min="1797" max="1797" width="8.33203125" style="181" customWidth="1"/>
    <col min="1798" max="1798" width="7" style="181" customWidth="1"/>
    <col min="1799" max="1799" width="5.33203125" style="181" bestFit="1" customWidth="1"/>
    <col min="1800" max="1800" width="6.83203125" style="181" bestFit="1" customWidth="1"/>
    <col min="1801" max="1801" width="7.83203125" style="181" bestFit="1" customWidth="1"/>
    <col min="1802" max="1803" width="6.83203125" style="181" customWidth="1"/>
    <col min="1804" max="1804" width="8.5" style="181" customWidth="1"/>
    <col min="1805" max="1805" width="9" style="181" customWidth="1"/>
    <col min="1806" max="1806" width="5.83203125" style="181" bestFit="1" customWidth="1"/>
    <col min="1807" max="1807" width="6.33203125" style="181" bestFit="1" customWidth="1"/>
    <col min="1808" max="1808" width="5.6640625" style="181" bestFit="1" customWidth="1"/>
    <col min="1809" max="1809" width="4.83203125" style="181" bestFit="1" customWidth="1"/>
    <col min="1810" max="1810" width="5.6640625" style="181" bestFit="1" customWidth="1"/>
    <col min="1811" max="1811" width="4.83203125" style="181" bestFit="1" customWidth="1"/>
    <col min="1812" max="1812" width="4.33203125" style="181" bestFit="1" customWidth="1"/>
    <col min="1813" max="1813" width="5.33203125" style="181" bestFit="1" customWidth="1"/>
    <col min="1814" max="1814" width="5.5" style="181" customWidth="1"/>
    <col min="1815" max="1815" width="5.33203125" style="181" bestFit="1" customWidth="1"/>
    <col min="1816" max="1816" width="6" style="181" customWidth="1"/>
    <col min="1817" max="1817" width="5" style="181" customWidth="1"/>
    <col min="1818" max="1818" width="5.83203125" style="181" customWidth="1"/>
    <col min="1819" max="1819" width="7.33203125" style="181" bestFit="1" customWidth="1"/>
    <col min="1820" max="1821" width="6.33203125" style="181" bestFit="1" customWidth="1"/>
    <col min="1822" max="1831" width="6.33203125" style="181" customWidth="1"/>
    <col min="1832" max="1832" width="7.1640625" style="181" bestFit="1" customWidth="1"/>
    <col min="1833" max="1833" width="4.5" style="181" bestFit="1" customWidth="1"/>
    <col min="1834" max="1834" width="6.6640625" style="181" customWidth="1"/>
    <col min="1835" max="1835" width="5.83203125" style="181" bestFit="1" customWidth="1"/>
    <col min="1836" max="1836" width="5.6640625" style="181" bestFit="1" customWidth="1"/>
    <col min="1837" max="1837" width="4.83203125" style="181" bestFit="1" customWidth="1"/>
    <col min="1838" max="1838" width="5.6640625" style="181" bestFit="1" customWidth="1"/>
    <col min="1839" max="1839" width="4.83203125" style="181" bestFit="1" customWidth="1"/>
    <col min="1840" max="1840" width="5.6640625" style="181" bestFit="1" customWidth="1"/>
    <col min="1841" max="1841" width="5.33203125" style="181" bestFit="1" customWidth="1"/>
    <col min="1842" max="1842" width="6.33203125" style="181" bestFit="1" customWidth="1"/>
    <col min="1843" max="1843" width="8.83203125" style="181" customWidth="1"/>
    <col min="1844" max="1854" width="5.83203125" style="181" bestFit="1" customWidth="1"/>
    <col min="1855" max="2052" width="8.83203125" style="181"/>
    <col min="2053" max="2053" width="8.33203125" style="181" customWidth="1"/>
    <col min="2054" max="2054" width="7" style="181" customWidth="1"/>
    <col min="2055" max="2055" width="5.33203125" style="181" bestFit="1" customWidth="1"/>
    <col min="2056" max="2056" width="6.83203125" style="181" bestFit="1" customWidth="1"/>
    <col min="2057" max="2057" width="7.83203125" style="181" bestFit="1" customWidth="1"/>
    <col min="2058" max="2059" width="6.83203125" style="181" customWidth="1"/>
    <col min="2060" max="2060" width="8.5" style="181" customWidth="1"/>
    <col min="2061" max="2061" width="9" style="181" customWidth="1"/>
    <col min="2062" max="2062" width="5.83203125" style="181" bestFit="1" customWidth="1"/>
    <col min="2063" max="2063" width="6.33203125" style="181" bestFit="1" customWidth="1"/>
    <col min="2064" max="2064" width="5.6640625" style="181" bestFit="1" customWidth="1"/>
    <col min="2065" max="2065" width="4.83203125" style="181" bestFit="1" customWidth="1"/>
    <col min="2066" max="2066" width="5.6640625" style="181" bestFit="1" customWidth="1"/>
    <col min="2067" max="2067" width="4.83203125" style="181" bestFit="1" customWidth="1"/>
    <col min="2068" max="2068" width="4.33203125" style="181" bestFit="1" customWidth="1"/>
    <col min="2069" max="2069" width="5.33203125" style="181" bestFit="1" customWidth="1"/>
    <col min="2070" max="2070" width="5.5" style="181" customWidth="1"/>
    <col min="2071" max="2071" width="5.33203125" style="181" bestFit="1" customWidth="1"/>
    <col min="2072" max="2072" width="6" style="181" customWidth="1"/>
    <col min="2073" max="2073" width="5" style="181" customWidth="1"/>
    <col min="2074" max="2074" width="5.83203125" style="181" customWidth="1"/>
    <col min="2075" max="2075" width="7.33203125" style="181" bestFit="1" customWidth="1"/>
    <col min="2076" max="2077" width="6.33203125" style="181" bestFit="1" customWidth="1"/>
    <col min="2078" max="2087" width="6.33203125" style="181" customWidth="1"/>
    <col min="2088" max="2088" width="7.1640625" style="181" bestFit="1" customWidth="1"/>
    <col min="2089" max="2089" width="4.5" style="181" bestFit="1" customWidth="1"/>
    <col min="2090" max="2090" width="6.6640625" style="181" customWidth="1"/>
    <col min="2091" max="2091" width="5.83203125" style="181" bestFit="1" customWidth="1"/>
    <col min="2092" max="2092" width="5.6640625" style="181" bestFit="1" customWidth="1"/>
    <col min="2093" max="2093" width="4.83203125" style="181" bestFit="1" customWidth="1"/>
    <col min="2094" max="2094" width="5.6640625" style="181" bestFit="1" customWidth="1"/>
    <col min="2095" max="2095" width="4.83203125" style="181" bestFit="1" customWidth="1"/>
    <col min="2096" max="2096" width="5.6640625" style="181" bestFit="1" customWidth="1"/>
    <col min="2097" max="2097" width="5.33203125" style="181" bestFit="1" customWidth="1"/>
    <col min="2098" max="2098" width="6.33203125" style="181" bestFit="1" customWidth="1"/>
    <col min="2099" max="2099" width="8.83203125" style="181" customWidth="1"/>
    <col min="2100" max="2110" width="5.83203125" style="181" bestFit="1" customWidth="1"/>
    <col min="2111" max="2308" width="8.83203125" style="181"/>
    <col min="2309" max="2309" width="8.33203125" style="181" customWidth="1"/>
    <col min="2310" max="2310" width="7" style="181" customWidth="1"/>
    <col min="2311" max="2311" width="5.33203125" style="181" bestFit="1" customWidth="1"/>
    <col min="2312" max="2312" width="6.83203125" style="181" bestFit="1" customWidth="1"/>
    <col min="2313" max="2313" width="7.83203125" style="181" bestFit="1" customWidth="1"/>
    <col min="2314" max="2315" width="6.83203125" style="181" customWidth="1"/>
    <col min="2316" max="2316" width="8.5" style="181" customWidth="1"/>
    <col min="2317" max="2317" width="9" style="181" customWidth="1"/>
    <col min="2318" max="2318" width="5.83203125" style="181" bestFit="1" customWidth="1"/>
    <col min="2319" max="2319" width="6.33203125" style="181" bestFit="1" customWidth="1"/>
    <col min="2320" max="2320" width="5.6640625" style="181" bestFit="1" customWidth="1"/>
    <col min="2321" max="2321" width="4.83203125" style="181" bestFit="1" customWidth="1"/>
    <col min="2322" max="2322" width="5.6640625" style="181" bestFit="1" customWidth="1"/>
    <col min="2323" max="2323" width="4.83203125" style="181" bestFit="1" customWidth="1"/>
    <col min="2324" max="2324" width="4.33203125" style="181" bestFit="1" customWidth="1"/>
    <col min="2325" max="2325" width="5.33203125" style="181" bestFit="1" customWidth="1"/>
    <col min="2326" max="2326" width="5.5" style="181" customWidth="1"/>
    <col min="2327" max="2327" width="5.33203125" style="181" bestFit="1" customWidth="1"/>
    <col min="2328" max="2328" width="6" style="181" customWidth="1"/>
    <col min="2329" max="2329" width="5" style="181" customWidth="1"/>
    <col min="2330" max="2330" width="5.83203125" style="181" customWidth="1"/>
    <col min="2331" max="2331" width="7.33203125" style="181" bestFit="1" customWidth="1"/>
    <col min="2332" max="2333" width="6.33203125" style="181" bestFit="1" customWidth="1"/>
    <col min="2334" max="2343" width="6.33203125" style="181" customWidth="1"/>
    <col min="2344" max="2344" width="7.1640625" style="181" bestFit="1" customWidth="1"/>
    <col min="2345" max="2345" width="4.5" style="181" bestFit="1" customWidth="1"/>
    <col min="2346" max="2346" width="6.6640625" style="181" customWidth="1"/>
    <col min="2347" max="2347" width="5.83203125" style="181" bestFit="1" customWidth="1"/>
    <col min="2348" max="2348" width="5.6640625" style="181" bestFit="1" customWidth="1"/>
    <col min="2349" max="2349" width="4.83203125" style="181" bestFit="1" customWidth="1"/>
    <col min="2350" max="2350" width="5.6640625" style="181" bestFit="1" customWidth="1"/>
    <col min="2351" max="2351" width="4.83203125" style="181" bestFit="1" customWidth="1"/>
    <col min="2352" max="2352" width="5.6640625" style="181" bestFit="1" customWidth="1"/>
    <col min="2353" max="2353" width="5.33203125" style="181" bestFit="1" customWidth="1"/>
    <col min="2354" max="2354" width="6.33203125" style="181" bestFit="1" customWidth="1"/>
    <col min="2355" max="2355" width="8.83203125" style="181" customWidth="1"/>
    <col min="2356" max="2366" width="5.83203125" style="181" bestFit="1" customWidth="1"/>
    <col min="2367" max="2564" width="8.83203125" style="181"/>
    <col min="2565" max="2565" width="8.33203125" style="181" customWidth="1"/>
    <col min="2566" max="2566" width="7" style="181" customWidth="1"/>
    <col min="2567" max="2567" width="5.33203125" style="181" bestFit="1" customWidth="1"/>
    <col min="2568" max="2568" width="6.83203125" style="181" bestFit="1" customWidth="1"/>
    <col min="2569" max="2569" width="7.83203125" style="181" bestFit="1" customWidth="1"/>
    <col min="2570" max="2571" width="6.83203125" style="181" customWidth="1"/>
    <col min="2572" max="2572" width="8.5" style="181" customWidth="1"/>
    <col min="2573" max="2573" width="9" style="181" customWidth="1"/>
    <col min="2574" max="2574" width="5.83203125" style="181" bestFit="1" customWidth="1"/>
    <col min="2575" max="2575" width="6.33203125" style="181" bestFit="1" customWidth="1"/>
    <col min="2576" max="2576" width="5.6640625" style="181" bestFit="1" customWidth="1"/>
    <col min="2577" max="2577" width="4.83203125" style="181" bestFit="1" customWidth="1"/>
    <col min="2578" max="2578" width="5.6640625" style="181" bestFit="1" customWidth="1"/>
    <col min="2579" max="2579" width="4.83203125" style="181" bestFit="1" customWidth="1"/>
    <col min="2580" max="2580" width="4.33203125" style="181" bestFit="1" customWidth="1"/>
    <col min="2581" max="2581" width="5.33203125" style="181" bestFit="1" customWidth="1"/>
    <col min="2582" max="2582" width="5.5" style="181" customWidth="1"/>
    <col min="2583" max="2583" width="5.33203125" style="181" bestFit="1" customWidth="1"/>
    <col min="2584" max="2584" width="6" style="181" customWidth="1"/>
    <col min="2585" max="2585" width="5" style="181" customWidth="1"/>
    <col min="2586" max="2586" width="5.83203125" style="181" customWidth="1"/>
    <col min="2587" max="2587" width="7.33203125" style="181" bestFit="1" customWidth="1"/>
    <col min="2588" max="2589" width="6.33203125" style="181" bestFit="1" customWidth="1"/>
    <col min="2590" max="2599" width="6.33203125" style="181" customWidth="1"/>
    <col min="2600" max="2600" width="7.1640625" style="181" bestFit="1" customWidth="1"/>
    <col min="2601" max="2601" width="4.5" style="181" bestFit="1" customWidth="1"/>
    <col min="2602" max="2602" width="6.6640625" style="181" customWidth="1"/>
    <col min="2603" max="2603" width="5.83203125" style="181" bestFit="1" customWidth="1"/>
    <col min="2604" max="2604" width="5.6640625" style="181" bestFit="1" customWidth="1"/>
    <col min="2605" max="2605" width="4.83203125" style="181" bestFit="1" customWidth="1"/>
    <col min="2606" max="2606" width="5.6640625" style="181" bestFit="1" customWidth="1"/>
    <col min="2607" max="2607" width="4.83203125" style="181" bestFit="1" customWidth="1"/>
    <col min="2608" max="2608" width="5.6640625" style="181" bestFit="1" customWidth="1"/>
    <col min="2609" max="2609" width="5.33203125" style="181" bestFit="1" customWidth="1"/>
    <col min="2610" max="2610" width="6.33203125" style="181" bestFit="1" customWidth="1"/>
    <col min="2611" max="2611" width="8.83203125" style="181" customWidth="1"/>
    <col min="2612" max="2622" width="5.83203125" style="181" bestFit="1" customWidth="1"/>
    <col min="2623" max="2820" width="8.83203125" style="181"/>
    <col min="2821" max="2821" width="8.33203125" style="181" customWidth="1"/>
    <col min="2822" max="2822" width="7" style="181" customWidth="1"/>
    <col min="2823" max="2823" width="5.33203125" style="181" bestFit="1" customWidth="1"/>
    <col min="2824" max="2824" width="6.83203125" style="181" bestFit="1" customWidth="1"/>
    <col min="2825" max="2825" width="7.83203125" style="181" bestFit="1" customWidth="1"/>
    <col min="2826" max="2827" width="6.83203125" style="181" customWidth="1"/>
    <col min="2828" max="2828" width="8.5" style="181" customWidth="1"/>
    <col min="2829" max="2829" width="9" style="181" customWidth="1"/>
    <col min="2830" max="2830" width="5.83203125" style="181" bestFit="1" customWidth="1"/>
    <col min="2831" max="2831" width="6.33203125" style="181" bestFit="1" customWidth="1"/>
    <col min="2832" max="2832" width="5.6640625" style="181" bestFit="1" customWidth="1"/>
    <col min="2833" max="2833" width="4.83203125" style="181" bestFit="1" customWidth="1"/>
    <col min="2834" max="2834" width="5.6640625" style="181" bestFit="1" customWidth="1"/>
    <col min="2835" max="2835" width="4.83203125" style="181" bestFit="1" customWidth="1"/>
    <col min="2836" max="2836" width="4.33203125" style="181" bestFit="1" customWidth="1"/>
    <col min="2837" max="2837" width="5.33203125" style="181" bestFit="1" customWidth="1"/>
    <col min="2838" max="2838" width="5.5" style="181" customWidth="1"/>
    <col min="2839" max="2839" width="5.33203125" style="181" bestFit="1" customWidth="1"/>
    <col min="2840" max="2840" width="6" style="181" customWidth="1"/>
    <col min="2841" max="2841" width="5" style="181" customWidth="1"/>
    <col min="2842" max="2842" width="5.83203125" style="181" customWidth="1"/>
    <col min="2843" max="2843" width="7.33203125" style="181" bestFit="1" customWidth="1"/>
    <col min="2844" max="2845" width="6.33203125" style="181" bestFit="1" customWidth="1"/>
    <col min="2846" max="2855" width="6.33203125" style="181" customWidth="1"/>
    <col min="2856" max="2856" width="7.1640625" style="181" bestFit="1" customWidth="1"/>
    <col min="2857" max="2857" width="4.5" style="181" bestFit="1" customWidth="1"/>
    <col min="2858" max="2858" width="6.6640625" style="181" customWidth="1"/>
    <col min="2859" max="2859" width="5.83203125" style="181" bestFit="1" customWidth="1"/>
    <col min="2860" max="2860" width="5.6640625" style="181" bestFit="1" customWidth="1"/>
    <col min="2861" max="2861" width="4.83203125" style="181" bestFit="1" customWidth="1"/>
    <col min="2862" max="2862" width="5.6640625" style="181" bestFit="1" customWidth="1"/>
    <col min="2863" max="2863" width="4.83203125" style="181" bestFit="1" customWidth="1"/>
    <col min="2864" max="2864" width="5.6640625" style="181" bestFit="1" customWidth="1"/>
    <col min="2865" max="2865" width="5.33203125" style="181" bestFit="1" customWidth="1"/>
    <col min="2866" max="2866" width="6.33203125" style="181" bestFit="1" customWidth="1"/>
    <col min="2867" max="2867" width="8.83203125" style="181" customWidth="1"/>
    <col min="2868" max="2878" width="5.83203125" style="181" bestFit="1" customWidth="1"/>
    <col min="2879" max="3076" width="8.83203125" style="181"/>
    <col min="3077" max="3077" width="8.33203125" style="181" customWidth="1"/>
    <col min="3078" max="3078" width="7" style="181" customWidth="1"/>
    <col min="3079" max="3079" width="5.33203125" style="181" bestFit="1" customWidth="1"/>
    <col min="3080" max="3080" width="6.83203125" style="181" bestFit="1" customWidth="1"/>
    <col min="3081" max="3081" width="7.83203125" style="181" bestFit="1" customWidth="1"/>
    <col min="3082" max="3083" width="6.83203125" style="181" customWidth="1"/>
    <col min="3084" max="3084" width="8.5" style="181" customWidth="1"/>
    <col min="3085" max="3085" width="9" style="181" customWidth="1"/>
    <col min="3086" max="3086" width="5.83203125" style="181" bestFit="1" customWidth="1"/>
    <col min="3087" max="3087" width="6.33203125" style="181" bestFit="1" customWidth="1"/>
    <col min="3088" max="3088" width="5.6640625" style="181" bestFit="1" customWidth="1"/>
    <col min="3089" max="3089" width="4.83203125" style="181" bestFit="1" customWidth="1"/>
    <col min="3090" max="3090" width="5.6640625" style="181" bestFit="1" customWidth="1"/>
    <col min="3091" max="3091" width="4.83203125" style="181" bestFit="1" customWidth="1"/>
    <col min="3092" max="3092" width="4.33203125" style="181" bestFit="1" customWidth="1"/>
    <col min="3093" max="3093" width="5.33203125" style="181" bestFit="1" customWidth="1"/>
    <col min="3094" max="3094" width="5.5" style="181" customWidth="1"/>
    <col min="3095" max="3095" width="5.33203125" style="181" bestFit="1" customWidth="1"/>
    <col min="3096" max="3096" width="6" style="181" customWidth="1"/>
    <col min="3097" max="3097" width="5" style="181" customWidth="1"/>
    <col min="3098" max="3098" width="5.83203125" style="181" customWidth="1"/>
    <col min="3099" max="3099" width="7.33203125" style="181" bestFit="1" customWidth="1"/>
    <col min="3100" max="3101" width="6.33203125" style="181" bestFit="1" customWidth="1"/>
    <col min="3102" max="3111" width="6.33203125" style="181" customWidth="1"/>
    <col min="3112" max="3112" width="7.1640625" style="181" bestFit="1" customWidth="1"/>
    <col min="3113" max="3113" width="4.5" style="181" bestFit="1" customWidth="1"/>
    <col min="3114" max="3114" width="6.6640625" style="181" customWidth="1"/>
    <col min="3115" max="3115" width="5.83203125" style="181" bestFit="1" customWidth="1"/>
    <col min="3116" max="3116" width="5.6640625" style="181" bestFit="1" customWidth="1"/>
    <col min="3117" max="3117" width="4.83203125" style="181" bestFit="1" customWidth="1"/>
    <col min="3118" max="3118" width="5.6640625" style="181" bestFit="1" customWidth="1"/>
    <col min="3119" max="3119" width="4.83203125" style="181" bestFit="1" customWidth="1"/>
    <col min="3120" max="3120" width="5.6640625" style="181" bestFit="1" customWidth="1"/>
    <col min="3121" max="3121" width="5.33203125" style="181" bestFit="1" customWidth="1"/>
    <col min="3122" max="3122" width="6.33203125" style="181" bestFit="1" customWidth="1"/>
    <col min="3123" max="3123" width="8.83203125" style="181" customWidth="1"/>
    <col min="3124" max="3134" width="5.83203125" style="181" bestFit="1" customWidth="1"/>
    <col min="3135" max="3332" width="8.83203125" style="181"/>
    <col min="3333" max="3333" width="8.33203125" style="181" customWidth="1"/>
    <col min="3334" max="3334" width="7" style="181" customWidth="1"/>
    <col min="3335" max="3335" width="5.33203125" style="181" bestFit="1" customWidth="1"/>
    <col min="3336" max="3336" width="6.83203125" style="181" bestFit="1" customWidth="1"/>
    <col min="3337" max="3337" width="7.83203125" style="181" bestFit="1" customWidth="1"/>
    <col min="3338" max="3339" width="6.83203125" style="181" customWidth="1"/>
    <col min="3340" max="3340" width="8.5" style="181" customWidth="1"/>
    <col min="3341" max="3341" width="9" style="181" customWidth="1"/>
    <col min="3342" max="3342" width="5.83203125" style="181" bestFit="1" customWidth="1"/>
    <col min="3343" max="3343" width="6.33203125" style="181" bestFit="1" customWidth="1"/>
    <col min="3344" max="3344" width="5.6640625" style="181" bestFit="1" customWidth="1"/>
    <col min="3345" max="3345" width="4.83203125" style="181" bestFit="1" customWidth="1"/>
    <col min="3346" max="3346" width="5.6640625" style="181" bestFit="1" customWidth="1"/>
    <col min="3347" max="3347" width="4.83203125" style="181" bestFit="1" customWidth="1"/>
    <col min="3348" max="3348" width="4.33203125" style="181" bestFit="1" customWidth="1"/>
    <col min="3349" max="3349" width="5.33203125" style="181" bestFit="1" customWidth="1"/>
    <col min="3350" max="3350" width="5.5" style="181" customWidth="1"/>
    <col min="3351" max="3351" width="5.33203125" style="181" bestFit="1" customWidth="1"/>
    <col min="3352" max="3352" width="6" style="181" customWidth="1"/>
    <col min="3353" max="3353" width="5" style="181" customWidth="1"/>
    <col min="3354" max="3354" width="5.83203125" style="181" customWidth="1"/>
    <col min="3355" max="3355" width="7.33203125" style="181" bestFit="1" customWidth="1"/>
    <col min="3356" max="3357" width="6.33203125" style="181" bestFit="1" customWidth="1"/>
    <col min="3358" max="3367" width="6.33203125" style="181" customWidth="1"/>
    <col min="3368" max="3368" width="7.1640625" style="181" bestFit="1" customWidth="1"/>
    <col min="3369" max="3369" width="4.5" style="181" bestFit="1" customWidth="1"/>
    <col min="3370" max="3370" width="6.6640625" style="181" customWidth="1"/>
    <col min="3371" max="3371" width="5.83203125" style="181" bestFit="1" customWidth="1"/>
    <col min="3372" max="3372" width="5.6640625" style="181" bestFit="1" customWidth="1"/>
    <col min="3373" max="3373" width="4.83203125" style="181" bestFit="1" customWidth="1"/>
    <col min="3374" max="3374" width="5.6640625" style="181" bestFit="1" customWidth="1"/>
    <col min="3375" max="3375" width="4.83203125" style="181" bestFit="1" customWidth="1"/>
    <col min="3376" max="3376" width="5.6640625" style="181" bestFit="1" customWidth="1"/>
    <col min="3377" max="3377" width="5.33203125" style="181" bestFit="1" customWidth="1"/>
    <col min="3378" max="3378" width="6.33203125" style="181" bestFit="1" customWidth="1"/>
    <col min="3379" max="3379" width="8.83203125" style="181" customWidth="1"/>
    <col min="3380" max="3390" width="5.83203125" style="181" bestFit="1" customWidth="1"/>
    <col min="3391" max="3588" width="8.83203125" style="181"/>
    <col min="3589" max="3589" width="8.33203125" style="181" customWidth="1"/>
    <col min="3590" max="3590" width="7" style="181" customWidth="1"/>
    <col min="3591" max="3591" width="5.33203125" style="181" bestFit="1" customWidth="1"/>
    <col min="3592" max="3592" width="6.83203125" style="181" bestFit="1" customWidth="1"/>
    <col min="3593" max="3593" width="7.83203125" style="181" bestFit="1" customWidth="1"/>
    <col min="3594" max="3595" width="6.83203125" style="181" customWidth="1"/>
    <col min="3596" max="3596" width="8.5" style="181" customWidth="1"/>
    <col min="3597" max="3597" width="9" style="181" customWidth="1"/>
    <col min="3598" max="3598" width="5.83203125" style="181" bestFit="1" customWidth="1"/>
    <col min="3599" max="3599" width="6.33203125" style="181" bestFit="1" customWidth="1"/>
    <col min="3600" max="3600" width="5.6640625" style="181" bestFit="1" customWidth="1"/>
    <col min="3601" max="3601" width="4.83203125" style="181" bestFit="1" customWidth="1"/>
    <col min="3602" max="3602" width="5.6640625" style="181" bestFit="1" customWidth="1"/>
    <col min="3603" max="3603" width="4.83203125" style="181" bestFit="1" customWidth="1"/>
    <col min="3604" max="3604" width="4.33203125" style="181" bestFit="1" customWidth="1"/>
    <col min="3605" max="3605" width="5.33203125" style="181" bestFit="1" customWidth="1"/>
    <col min="3606" max="3606" width="5.5" style="181" customWidth="1"/>
    <col min="3607" max="3607" width="5.33203125" style="181" bestFit="1" customWidth="1"/>
    <col min="3608" max="3608" width="6" style="181" customWidth="1"/>
    <col min="3609" max="3609" width="5" style="181" customWidth="1"/>
    <col min="3610" max="3610" width="5.83203125" style="181" customWidth="1"/>
    <col min="3611" max="3611" width="7.33203125" style="181" bestFit="1" customWidth="1"/>
    <col min="3612" max="3613" width="6.33203125" style="181" bestFit="1" customWidth="1"/>
    <col min="3614" max="3623" width="6.33203125" style="181" customWidth="1"/>
    <col min="3624" max="3624" width="7.1640625" style="181" bestFit="1" customWidth="1"/>
    <col min="3625" max="3625" width="4.5" style="181" bestFit="1" customWidth="1"/>
    <col min="3626" max="3626" width="6.6640625" style="181" customWidth="1"/>
    <col min="3627" max="3627" width="5.83203125" style="181" bestFit="1" customWidth="1"/>
    <col min="3628" max="3628" width="5.6640625" style="181" bestFit="1" customWidth="1"/>
    <col min="3629" max="3629" width="4.83203125" style="181" bestFit="1" customWidth="1"/>
    <col min="3630" max="3630" width="5.6640625" style="181" bestFit="1" customWidth="1"/>
    <col min="3631" max="3631" width="4.83203125" style="181" bestFit="1" customWidth="1"/>
    <col min="3632" max="3632" width="5.6640625" style="181" bestFit="1" customWidth="1"/>
    <col min="3633" max="3633" width="5.33203125" style="181" bestFit="1" customWidth="1"/>
    <col min="3634" max="3634" width="6.33203125" style="181" bestFit="1" customWidth="1"/>
    <col min="3635" max="3635" width="8.83203125" style="181" customWidth="1"/>
    <col min="3636" max="3646" width="5.83203125" style="181" bestFit="1" customWidth="1"/>
    <col min="3647" max="3844" width="8.83203125" style="181"/>
    <col min="3845" max="3845" width="8.33203125" style="181" customWidth="1"/>
    <col min="3846" max="3846" width="7" style="181" customWidth="1"/>
    <col min="3847" max="3847" width="5.33203125" style="181" bestFit="1" customWidth="1"/>
    <col min="3848" max="3848" width="6.83203125" style="181" bestFit="1" customWidth="1"/>
    <col min="3849" max="3849" width="7.83203125" style="181" bestFit="1" customWidth="1"/>
    <col min="3850" max="3851" width="6.83203125" style="181" customWidth="1"/>
    <col min="3852" max="3852" width="8.5" style="181" customWidth="1"/>
    <col min="3853" max="3853" width="9" style="181" customWidth="1"/>
    <col min="3854" max="3854" width="5.83203125" style="181" bestFit="1" customWidth="1"/>
    <col min="3855" max="3855" width="6.33203125" style="181" bestFit="1" customWidth="1"/>
    <col min="3856" max="3856" width="5.6640625" style="181" bestFit="1" customWidth="1"/>
    <col min="3857" max="3857" width="4.83203125" style="181" bestFit="1" customWidth="1"/>
    <col min="3858" max="3858" width="5.6640625" style="181" bestFit="1" customWidth="1"/>
    <col min="3859" max="3859" width="4.83203125" style="181" bestFit="1" customWidth="1"/>
    <col min="3860" max="3860" width="4.33203125" style="181" bestFit="1" customWidth="1"/>
    <col min="3861" max="3861" width="5.33203125" style="181" bestFit="1" customWidth="1"/>
    <col min="3862" max="3862" width="5.5" style="181" customWidth="1"/>
    <col min="3863" max="3863" width="5.33203125" style="181" bestFit="1" customWidth="1"/>
    <col min="3864" max="3864" width="6" style="181" customWidth="1"/>
    <col min="3865" max="3865" width="5" style="181" customWidth="1"/>
    <col min="3866" max="3866" width="5.83203125" style="181" customWidth="1"/>
    <col min="3867" max="3867" width="7.33203125" style="181" bestFit="1" customWidth="1"/>
    <col min="3868" max="3869" width="6.33203125" style="181" bestFit="1" customWidth="1"/>
    <col min="3870" max="3879" width="6.33203125" style="181" customWidth="1"/>
    <col min="3880" max="3880" width="7.1640625" style="181" bestFit="1" customWidth="1"/>
    <col min="3881" max="3881" width="4.5" style="181" bestFit="1" customWidth="1"/>
    <col min="3882" max="3882" width="6.6640625" style="181" customWidth="1"/>
    <col min="3883" max="3883" width="5.83203125" style="181" bestFit="1" customWidth="1"/>
    <col min="3884" max="3884" width="5.6640625" style="181" bestFit="1" customWidth="1"/>
    <col min="3885" max="3885" width="4.83203125" style="181" bestFit="1" customWidth="1"/>
    <col min="3886" max="3886" width="5.6640625" style="181" bestFit="1" customWidth="1"/>
    <col min="3887" max="3887" width="4.83203125" style="181" bestFit="1" customWidth="1"/>
    <col min="3888" max="3888" width="5.6640625" style="181" bestFit="1" customWidth="1"/>
    <col min="3889" max="3889" width="5.33203125" style="181" bestFit="1" customWidth="1"/>
    <col min="3890" max="3890" width="6.33203125" style="181" bestFit="1" customWidth="1"/>
    <col min="3891" max="3891" width="8.83203125" style="181" customWidth="1"/>
    <col min="3892" max="3902" width="5.83203125" style="181" bestFit="1" customWidth="1"/>
    <col min="3903" max="4100" width="8.83203125" style="181"/>
    <col min="4101" max="4101" width="8.33203125" style="181" customWidth="1"/>
    <col min="4102" max="4102" width="7" style="181" customWidth="1"/>
    <col min="4103" max="4103" width="5.33203125" style="181" bestFit="1" customWidth="1"/>
    <col min="4104" max="4104" width="6.83203125" style="181" bestFit="1" customWidth="1"/>
    <col min="4105" max="4105" width="7.83203125" style="181" bestFit="1" customWidth="1"/>
    <col min="4106" max="4107" width="6.83203125" style="181" customWidth="1"/>
    <col min="4108" max="4108" width="8.5" style="181" customWidth="1"/>
    <col min="4109" max="4109" width="9" style="181" customWidth="1"/>
    <col min="4110" max="4110" width="5.83203125" style="181" bestFit="1" customWidth="1"/>
    <col min="4111" max="4111" width="6.33203125" style="181" bestFit="1" customWidth="1"/>
    <col min="4112" max="4112" width="5.6640625" style="181" bestFit="1" customWidth="1"/>
    <col min="4113" max="4113" width="4.83203125" style="181" bestFit="1" customWidth="1"/>
    <col min="4114" max="4114" width="5.6640625" style="181" bestFit="1" customWidth="1"/>
    <col min="4115" max="4115" width="4.83203125" style="181" bestFit="1" customWidth="1"/>
    <col min="4116" max="4116" width="4.33203125" style="181" bestFit="1" customWidth="1"/>
    <col min="4117" max="4117" width="5.33203125" style="181" bestFit="1" customWidth="1"/>
    <col min="4118" max="4118" width="5.5" style="181" customWidth="1"/>
    <col min="4119" max="4119" width="5.33203125" style="181" bestFit="1" customWidth="1"/>
    <col min="4120" max="4120" width="6" style="181" customWidth="1"/>
    <col min="4121" max="4121" width="5" style="181" customWidth="1"/>
    <col min="4122" max="4122" width="5.83203125" style="181" customWidth="1"/>
    <col min="4123" max="4123" width="7.33203125" style="181" bestFit="1" customWidth="1"/>
    <col min="4124" max="4125" width="6.33203125" style="181" bestFit="1" customWidth="1"/>
    <col min="4126" max="4135" width="6.33203125" style="181" customWidth="1"/>
    <col min="4136" max="4136" width="7.1640625" style="181" bestFit="1" customWidth="1"/>
    <col min="4137" max="4137" width="4.5" style="181" bestFit="1" customWidth="1"/>
    <col min="4138" max="4138" width="6.6640625" style="181" customWidth="1"/>
    <col min="4139" max="4139" width="5.83203125" style="181" bestFit="1" customWidth="1"/>
    <col min="4140" max="4140" width="5.6640625" style="181" bestFit="1" customWidth="1"/>
    <col min="4141" max="4141" width="4.83203125" style="181" bestFit="1" customWidth="1"/>
    <col min="4142" max="4142" width="5.6640625" style="181" bestFit="1" customWidth="1"/>
    <col min="4143" max="4143" width="4.83203125" style="181" bestFit="1" customWidth="1"/>
    <col min="4144" max="4144" width="5.6640625" style="181" bestFit="1" customWidth="1"/>
    <col min="4145" max="4145" width="5.33203125" style="181" bestFit="1" customWidth="1"/>
    <col min="4146" max="4146" width="6.33203125" style="181" bestFit="1" customWidth="1"/>
    <col min="4147" max="4147" width="8.83203125" style="181" customWidth="1"/>
    <col min="4148" max="4158" width="5.83203125" style="181" bestFit="1" customWidth="1"/>
    <col min="4159" max="4356" width="8.83203125" style="181"/>
    <col min="4357" max="4357" width="8.33203125" style="181" customWidth="1"/>
    <col min="4358" max="4358" width="7" style="181" customWidth="1"/>
    <col min="4359" max="4359" width="5.33203125" style="181" bestFit="1" customWidth="1"/>
    <col min="4360" max="4360" width="6.83203125" style="181" bestFit="1" customWidth="1"/>
    <col min="4361" max="4361" width="7.83203125" style="181" bestFit="1" customWidth="1"/>
    <col min="4362" max="4363" width="6.83203125" style="181" customWidth="1"/>
    <col min="4364" max="4364" width="8.5" style="181" customWidth="1"/>
    <col min="4365" max="4365" width="9" style="181" customWidth="1"/>
    <col min="4366" max="4366" width="5.83203125" style="181" bestFit="1" customWidth="1"/>
    <col min="4367" max="4367" width="6.33203125" style="181" bestFit="1" customWidth="1"/>
    <col min="4368" max="4368" width="5.6640625" style="181" bestFit="1" customWidth="1"/>
    <col min="4369" max="4369" width="4.83203125" style="181" bestFit="1" customWidth="1"/>
    <col min="4370" max="4370" width="5.6640625" style="181" bestFit="1" customWidth="1"/>
    <col min="4371" max="4371" width="4.83203125" style="181" bestFit="1" customWidth="1"/>
    <col min="4372" max="4372" width="4.33203125" style="181" bestFit="1" customWidth="1"/>
    <col min="4373" max="4373" width="5.33203125" style="181" bestFit="1" customWidth="1"/>
    <col min="4374" max="4374" width="5.5" style="181" customWidth="1"/>
    <col min="4375" max="4375" width="5.33203125" style="181" bestFit="1" customWidth="1"/>
    <col min="4376" max="4376" width="6" style="181" customWidth="1"/>
    <col min="4377" max="4377" width="5" style="181" customWidth="1"/>
    <col min="4378" max="4378" width="5.83203125" style="181" customWidth="1"/>
    <col min="4379" max="4379" width="7.33203125" style="181" bestFit="1" customWidth="1"/>
    <col min="4380" max="4381" width="6.33203125" style="181" bestFit="1" customWidth="1"/>
    <col min="4382" max="4391" width="6.33203125" style="181" customWidth="1"/>
    <col min="4392" max="4392" width="7.1640625" style="181" bestFit="1" customWidth="1"/>
    <col min="4393" max="4393" width="4.5" style="181" bestFit="1" customWidth="1"/>
    <col min="4394" max="4394" width="6.6640625" style="181" customWidth="1"/>
    <col min="4395" max="4395" width="5.83203125" style="181" bestFit="1" customWidth="1"/>
    <col min="4396" max="4396" width="5.6640625" style="181" bestFit="1" customWidth="1"/>
    <col min="4397" max="4397" width="4.83203125" style="181" bestFit="1" customWidth="1"/>
    <col min="4398" max="4398" width="5.6640625" style="181" bestFit="1" customWidth="1"/>
    <col min="4399" max="4399" width="4.83203125" style="181" bestFit="1" customWidth="1"/>
    <col min="4400" max="4400" width="5.6640625" style="181" bestFit="1" customWidth="1"/>
    <col min="4401" max="4401" width="5.33203125" style="181" bestFit="1" customWidth="1"/>
    <col min="4402" max="4402" width="6.33203125" style="181" bestFit="1" customWidth="1"/>
    <col min="4403" max="4403" width="8.83203125" style="181" customWidth="1"/>
    <col min="4404" max="4414" width="5.83203125" style="181" bestFit="1" customWidth="1"/>
    <col min="4415" max="4612" width="8.83203125" style="181"/>
    <col min="4613" max="4613" width="8.33203125" style="181" customWidth="1"/>
    <col min="4614" max="4614" width="7" style="181" customWidth="1"/>
    <col min="4615" max="4615" width="5.33203125" style="181" bestFit="1" customWidth="1"/>
    <col min="4616" max="4616" width="6.83203125" style="181" bestFit="1" customWidth="1"/>
    <col min="4617" max="4617" width="7.83203125" style="181" bestFit="1" customWidth="1"/>
    <col min="4618" max="4619" width="6.83203125" style="181" customWidth="1"/>
    <col min="4620" max="4620" width="8.5" style="181" customWidth="1"/>
    <col min="4621" max="4621" width="9" style="181" customWidth="1"/>
    <col min="4622" max="4622" width="5.83203125" style="181" bestFit="1" customWidth="1"/>
    <col min="4623" max="4623" width="6.33203125" style="181" bestFit="1" customWidth="1"/>
    <col min="4624" max="4624" width="5.6640625" style="181" bestFit="1" customWidth="1"/>
    <col min="4625" max="4625" width="4.83203125" style="181" bestFit="1" customWidth="1"/>
    <col min="4626" max="4626" width="5.6640625" style="181" bestFit="1" customWidth="1"/>
    <col min="4627" max="4627" width="4.83203125" style="181" bestFit="1" customWidth="1"/>
    <col min="4628" max="4628" width="4.33203125" style="181" bestFit="1" customWidth="1"/>
    <col min="4629" max="4629" width="5.33203125" style="181" bestFit="1" customWidth="1"/>
    <col min="4630" max="4630" width="5.5" style="181" customWidth="1"/>
    <col min="4631" max="4631" width="5.33203125" style="181" bestFit="1" customWidth="1"/>
    <col min="4632" max="4632" width="6" style="181" customWidth="1"/>
    <col min="4633" max="4633" width="5" style="181" customWidth="1"/>
    <col min="4634" max="4634" width="5.83203125" style="181" customWidth="1"/>
    <col min="4635" max="4635" width="7.33203125" style="181" bestFit="1" customWidth="1"/>
    <col min="4636" max="4637" width="6.33203125" style="181" bestFit="1" customWidth="1"/>
    <col min="4638" max="4647" width="6.33203125" style="181" customWidth="1"/>
    <col min="4648" max="4648" width="7.1640625" style="181" bestFit="1" customWidth="1"/>
    <col min="4649" max="4649" width="4.5" style="181" bestFit="1" customWidth="1"/>
    <col min="4650" max="4650" width="6.6640625" style="181" customWidth="1"/>
    <col min="4651" max="4651" width="5.83203125" style="181" bestFit="1" customWidth="1"/>
    <col min="4652" max="4652" width="5.6640625" style="181" bestFit="1" customWidth="1"/>
    <col min="4653" max="4653" width="4.83203125" style="181" bestFit="1" customWidth="1"/>
    <col min="4654" max="4654" width="5.6640625" style="181" bestFit="1" customWidth="1"/>
    <col min="4655" max="4655" width="4.83203125" style="181" bestFit="1" customWidth="1"/>
    <col min="4656" max="4656" width="5.6640625" style="181" bestFit="1" customWidth="1"/>
    <col min="4657" max="4657" width="5.33203125" style="181" bestFit="1" customWidth="1"/>
    <col min="4658" max="4658" width="6.33203125" style="181" bestFit="1" customWidth="1"/>
    <col min="4659" max="4659" width="8.83203125" style="181" customWidth="1"/>
    <col min="4660" max="4670" width="5.83203125" style="181" bestFit="1" customWidth="1"/>
    <col min="4671" max="4868" width="8.83203125" style="181"/>
    <col min="4869" max="4869" width="8.33203125" style="181" customWidth="1"/>
    <col min="4870" max="4870" width="7" style="181" customWidth="1"/>
    <col min="4871" max="4871" width="5.33203125" style="181" bestFit="1" customWidth="1"/>
    <col min="4872" max="4872" width="6.83203125" style="181" bestFit="1" customWidth="1"/>
    <col min="4873" max="4873" width="7.83203125" style="181" bestFit="1" customWidth="1"/>
    <col min="4874" max="4875" width="6.83203125" style="181" customWidth="1"/>
    <col min="4876" max="4876" width="8.5" style="181" customWidth="1"/>
    <col min="4877" max="4877" width="9" style="181" customWidth="1"/>
    <col min="4878" max="4878" width="5.83203125" style="181" bestFit="1" customWidth="1"/>
    <col min="4879" max="4879" width="6.33203125" style="181" bestFit="1" customWidth="1"/>
    <col min="4880" max="4880" width="5.6640625" style="181" bestFit="1" customWidth="1"/>
    <col min="4881" max="4881" width="4.83203125" style="181" bestFit="1" customWidth="1"/>
    <col min="4882" max="4882" width="5.6640625" style="181" bestFit="1" customWidth="1"/>
    <col min="4883" max="4883" width="4.83203125" style="181" bestFit="1" customWidth="1"/>
    <col min="4884" max="4884" width="4.33203125" style="181" bestFit="1" customWidth="1"/>
    <col min="4885" max="4885" width="5.33203125" style="181" bestFit="1" customWidth="1"/>
    <col min="4886" max="4886" width="5.5" style="181" customWidth="1"/>
    <col min="4887" max="4887" width="5.33203125" style="181" bestFit="1" customWidth="1"/>
    <col min="4888" max="4888" width="6" style="181" customWidth="1"/>
    <col min="4889" max="4889" width="5" style="181" customWidth="1"/>
    <col min="4890" max="4890" width="5.83203125" style="181" customWidth="1"/>
    <col min="4891" max="4891" width="7.33203125" style="181" bestFit="1" customWidth="1"/>
    <col min="4892" max="4893" width="6.33203125" style="181" bestFit="1" customWidth="1"/>
    <col min="4894" max="4903" width="6.33203125" style="181" customWidth="1"/>
    <col min="4904" max="4904" width="7.1640625" style="181" bestFit="1" customWidth="1"/>
    <col min="4905" max="4905" width="4.5" style="181" bestFit="1" customWidth="1"/>
    <col min="4906" max="4906" width="6.6640625" style="181" customWidth="1"/>
    <col min="4907" max="4907" width="5.83203125" style="181" bestFit="1" customWidth="1"/>
    <col min="4908" max="4908" width="5.6640625" style="181" bestFit="1" customWidth="1"/>
    <col min="4909" max="4909" width="4.83203125" style="181" bestFit="1" customWidth="1"/>
    <col min="4910" max="4910" width="5.6640625" style="181" bestFit="1" customWidth="1"/>
    <col min="4911" max="4911" width="4.83203125" style="181" bestFit="1" customWidth="1"/>
    <col min="4912" max="4912" width="5.6640625" style="181" bestFit="1" customWidth="1"/>
    <col min="4913" max="4913" width="5.33203125" style="181" bestFit="1" customWidth="1"/>
    <col min="4914" max="4914" width="6.33203125" style="181" bestFit="1" customWidth="1"/>
    <col min="4915" max="4915" width="8.83203125" style="181" customWidth="1"/>
    <col min="4916" max="4926" width="5.83203125" style="181" bestFit="1" customWidth="1"/>
    <col min="4927" max="5124" width="8.83203125" style="181"/>
    <col min="5125" max="5125" width="8.33203125" style="181" customWidth="1"/>
    <col min="5126" max="5126" width="7" style="181" customWidth="1"/>
    <col min="5127" max="5127" width="5.33203125" style="181" bestFit="1" customWidth="1"/>
    <col min="5128" max="5128" width="6.83203125" style="181" bestFit="1" customWidth="1"/>
    <col min="5129" max="5129" width="7.83203125" style="181" bestFit="1" customWidth="1"/>
    <col min="5130" max="5131" width="6.83203125" style="181" customWidth="1"/>
    <col min="5132" max="5132" width="8.5" style="181" customWidth="1"/>
    <col min="5133" max="5133" width="9" style="181" customWidth="1"/>
    <col min="5134" max="5134" width="5.83203125" style="181" bestFit="1" customWidth="1"/>
    <col min="5135" max="5135" width="6.33203125" style="181" bestFit="1" customWidth="1"/>
    <col min="5136" max="5136" width="5.6640625" style="181" bestFit="1" customWidth="1"/>
    <col min="5137" max="5137" width="4.83203125" style="181" bestFit="1" customWidth="1"/>
    <col min="5138" max="5138" width="5.6640625" style="181" bestFit="1" customWidth="1"/>
    <col min="5139" max="5139" width="4.83203125" style="181" bestFit="1" customWidth="1"/>
    <col min="5140" max="5140" width="4.33203125" style="181" bestFit="1" customWidth="1"/>
    <col min="5141" max="5141" width="5.33203125" style="181" bestFit="1" customWidth="1"/>
    <col min="5142" max="5142" width="5.5" style="181" customWidth="1"/>
    <col min="5143" max="5143" width="5.33203125" style="181" bestFit="1" customWidth="1"/>
    <col min="5144" max="5144" width="6" style="181" customWidth="1"/>
    <col min="5145" max="5145" width="5" style="181" customWidth="1"/>
    <col min="5146" max="5146" width="5.83203125" style="181" customWidth="1"/>
    <col min="5147" max="5147" width="7.33203125" style="181" bestFit="1" customWidth="1"/>
    <col min="5148" max="5149" width="6.33203125" style="181" bestFit="1" customWidth="1"/>
    <col min="5150" max="5159" width="6.33203125" style="181" customWidth="1"/>
    <col min="5160" max="5160" width="7.1640625" style="181" bestFit="1" customWidth="1"/>
    <col min="5161" max="5161" width="4.5" style="181" bestFit="1" customWidth="1"/>
    <col min="5162" max="5162" width="6.6640625" style="181" customWidth="1"/>
    <col min="5163" max="5163" width="5.83203125" style="181" bestFit="1" customWidth="1"/>
    <col min="5164" max="5164" width="5.6640625" style="181" bestFit="1" customWidth="1"/>
    <col min="5165" max="5165" width="4.83203125" style="181" bestFit="1" customWidth="1"/>
    <col min="5166" max="5166" width="5.6640625" style="181" bestFit="1" customWidth="1"/>
    <col min="5167" max="5167" width="4.83203125" style="181" bestFit="1" customWidth="1"/>
    <col min="5168" max="5168" width="5.6640625" style="181" bestFit="1" customWidth="1"/>
    <col min="5169" max="5169" width="5.33203125" style="181" bestFit="1" customWidth="1"/>
    <col min="5170" max="5170" width="6.33203125" style="181" bestFit="1" customWidth="1"/>
    <col min="5171" max="5171" width="8.83203125" style="181" customWidth="1"/>
    <col min="5172" max="5182" width="5.83203125" style="181" bestFit="1" customWidth="1"/>
    <col min="5183" max="5380" width="8.83203125" style="181"/>
    <col min="5381" max="5381" width="8.33203125" style="181" customWidth="1"/>
    <col min="5382" max="5382" width="7" style="181" customWidth="1"/>
    <col min="5383" max="5383" width="5.33203125" style="181" bestFit="1" customWidth="1"/>
    <col min="5384" max="5384" width="6.83203125" style="181" bestFit="1" customWidth="1"/>
    <col min="5385" max="5385" width="7.83203125" style="181" bestFit="1" customWidth="1"/>
    <col min="5386" max="5387" width="6.83203125" style="181" customWidth="1"/>
    <col min="5388" max="5388" width="8.5" style="181" customWidth="1"/>
    <col min="5389" max="5389" width="9" style="181" customWidth="1"/>
    <col min="5390" max="5390" width="5.83203125" style="181" bestFit="1" customWidth="1"/>
    <col min="5391" max="5391" width="6.33203125" style="181" bestFit="1" customWidth="1"/>
    <col min="5392" max="5392" width="5.6640625" style="181" bestFit="1" customWidth="1"/>
    <col min="5393" max="5393" width="4.83203125" style="181" bestFit="1" customWidth="1"/>
    <col min="5394" max="5394" width="5.6640625" style="181" bestFit="1" customWidth="1"/>
    <col min="5395" max="5395" width="4.83203125" style="181" bestFit="1" customWidth="1"/>
    <col min="5396" max="5396" width="4.33203125" style="181" bestFit="1" customWidth="1"/>
    <col min="5397" max="5397" width="5.33203125" style="181" bestFit="1" customWidth="1"/>
    <col min="5398" max="5398" width="5.5" style="181" customWidth="1"/>
    <col min="5399" max="5399" width="5.33203125" style="181" bestFit="1" customWidth="1"/>
    <col min="5400" max="5400" width="6" style="181" customWidth="1"/>
    <col min="5401" max="5401" width="5" style="181" customWidth="1"/>
    <col min="5402" max="5402" width="5.83203125" style="181" customWidth="1"/>
    <col min="5403" max="5403" width="7.33203125" style="181" bestFit="1" customWidth="1"/>
    <col min="5404" max="5405" width="6.33203125" style="181" bestFit="1" customWidth="1"/>
    <col min="5406" max="5415" width="6.33203125" style="181" customWidth="1"/>
    <col min="5416" max="5416" width="7.1640625" style="181" bestFit="1" customWidth="1"/>
    <col min="5417" max="5417" width="4.5" style="181" bestFit="1" customWidth="1"/>
    <col min="5418" max="5418" width="6.6640625" style="181" customWidth="1"/>
    <col min="5419" max="5419" width="5.83203125" style="181" bestFit="1" customWidth="1"/>
    <col min="5420" max="5420" width="5.6640625" style="181" bestFit="1" customWidth="1"/>
    <col min="5421" max="5421" width="4.83203125" style="181" bestFit="1" customWidth="1"/>
    <col min="5422" max="5422" width="5.6640625" style="181" bestFit="1" customWidth="1"/>
    <col min="5423" max="5423" width="4.83203125" style="181" bestFit="1" customWidth="1"/>
    <col min="5424" max="5424" width="5.6640625" style="181" bestFit="1" customWidth="1"/>
    <col min="5425" max="5425" width="5.33203125" style="181" bestFit="1" customWidth="1"/>
    <col min="5426" max="5426" width="6.33203125" style="181" bestFit="1" customWidth="1"/>
    <col min="5427" max="5427" width="8.83203125" style="181" customWidth="1"/>
    <col min="5428" max="5438" width="5.83203125" style="181" bestFit="1" customWidth="1"/>
    <col min="5439" max="5636" width="8.83203125" style="181"/>
    <col min="5637" max="5637" width="8.33203125" style="181" customWidth="1"/>
    <col min="5638" max="5638" width="7" style="181" customWidth="1"/>
    <col min="5639" max="5639" width="5.33203125" style="181" bestFit="1" customWidth="1"/>
    <col min="5640" max="5640" width="6.83203125" style="181" bestFit="1" customWidth="1"/>
    <col min="5641" max="5641" width="7.83203125" style="181" bestFit="1" customWidth="1"/>
    <col min="5642" max="5643" width="6.83203125" style="181" customWidth="1"/>
    <col min="5644" max="5644" width="8.5" style="181" customWidth="1"/>
    <col min="5645" max="5645" width="9" style="181" customWidth="1"/>
    <col min="5646" max="5646" width="5.83203125" style="181" bestFit="1" customWidth="1"/>
    <col min="5647" max="5647" width="6.33203125" style="181" bestFit="1" customWidth="1"/>
    <col min="5648" max="5648" width="5.6640625" style="181" bestFit="1" customWidth="1"/>
    <col min="5649" max="5649" width="4.83203125" style="181" bestFit="1" customWidth="1"/>
    <col min="5650" max="5650" width="5.6640625" style="181" bestFit="1" customWidth="1"/>
    <col min="5651" max="5651" width="4.83203125" style="181" bestFit="1" customWidth="1"/>
    <col min="5652" max="5652" width="4.33203125" style="181" bestFit="1" customWidth="1"/>
    <col min="5653" max="5653" width="5.33203125" style="181" bestFit="1" customWidth="1"/>
    <col min="5654" max="5654" width="5.5" style="181" customWidth="1"/>
    <col min="5655" max="5655" width="5.33203125" style="181" bestFit="1" customWidth="1"/>
    <col min="5656" max="5656" width="6" style="181" customWidth="1"/>
    <col min="5657" max="5657" width="5" style="181" customWidth="1"/>
    <col min="5658" max="5658" width="5.83203125" style="181" customWidth="1"/>
    <col min="5659" max="5659" width="7.33203125" style="181" bestFit="1" customWidth="1"/>
    <col min="5660" max="5661" width="6.33203125" style="181" bestFit="1" customWidth="1"/>
    <col min="5662" max="5671" width="6.33203125" style="181" customWidth="1"/>
    <col min="5672" max="5672" width="7.1640625" style="181" bestFit="1" customWidth="1"/>
    <col min="5673" max="5673" width="4.5" style="181" bestFit="1" customWidth="1"/>
    <col min="5674" max="5674" width="6.6640625" style="181" customWidth="1"/>
    <col min="5675" max="5675" width="5.83203125" style="181" bestFit="1" customWidth="1"/>
    <col min="5676" max="5676" width="5.6640625" style="181" bestFit="1" customWidth="1"/>
    <col min="5677" max="5677" width="4.83203125" style="181" bestFit="1" customWidth="1"/>
    <col min="5678" max="5678" width="5.6640625" style="181" bestFit="1" customWidth="1"/>
    <col min="5679" max="5679" width="4.83203125" style="181" bestFit="1" customWidth="1"/>
    <col min="5680" max="5680" width="5.6640625" style="181" bestFit="1" customWidth="1"/>
    <col min="5681" max="5681" width="5.33203125" style="181" bestFit="1" customWidth="1"/>
    <col min="5682" max="5682" width="6.33203125" style="181" bestFit="1" customWidth="1"/>
    <col min="5683" max="5683" width="8.83203125" style="181" customWidth="1"/>
    <col min="5684" max="5694" width="5.83203125" style="181" bestFit="1" customWidth="1"/>
    <col min="5695" max="5892" width="8.83203125" style="181"/>
    <col min="5893" max="5893" width="8.33203125" style="181" customWidth="1"/>
    <col min="5894" max="5894" width="7" style="181" customWidth="1"/>
    <col min="5895" max="5895" width="5.33203125" style="181" bestFit="1" customWidth="1"/>
    <col min="5896" max="5896" width="6.83203125" style="181" bestFit="1" customWidth="1"/>
    <col min="5897" max="5897" width="7.83203125" style="181" bestFit="1" customWidth="1"/>
    <col min="5898" max="5899" width="6.83203125" style="181" customWidth="1"/>
    <col min="5900" max="5900" width="8.5" style="181" customWidth="1"/>
    <col min="5901" max="5901" width="9" style="181" customWidth="1"/>
    <col min="5902" max="5902" width="5.83203125" style="181" bestFit="1" customWidth="1"/>
    <col min="5903" max="5903" width="6.33203125" style="181" bestFit="1" customWidth="1"/>
    <col min="5904" max="5904" width="5.6640625" style="181" bestFit="1" customWidth="1"/>
    <col min="5905" max="5905" width="4.83203125" style="181" bestFit="1" customWidth="1"/>
    <col min="5906" max="5906" width="5.6640625" style="181" bestFit="1" customWidth="1"/>
    <col min="5907" max="5907" width="4.83203125" style="181" bestFit="1" customWidth="1"/>
    <col min="5908" max="5908" width="4.33203125" style="181" bestFit="1" customWidth="1"/>
    <col min="5909" max="5909" width="5.33203125" style="181" bestFit="1" customWidth="1"/>
    <col min="5910" max="5910" width="5.5" style="181" customWidth="1"/>
    <col min="5911" max="5911" width="5.33203125" style="181" bestFit="1" customWidth="1"/>
    <col min="5912" max="5912" width="6" style="181" customWidth="1"/>
    <col min="5913" max="5913" width="5" style="181" customWidth="1"/>
    <col min="5914" max="5914" width="5.83203125" style="181" customWidth="1"/>
    <col min="5915" max="5915" width="7.33203125" style="181" bestFit="1" customWidth="1"/>
    <col min="5916" max="5917" width="6.33203125" style="181" bestFit="1" customWidth="1"/>
    <col min="5918" max="5927" width="6.33203125" style="181" customWidth="1"/>
    <col min="5928" max="5928" width="7.1640625" style="181" bestFit="1" customWidth="1"/>
    <col min="5929" max="5929" width="4.5" style="181" bestFit="1" customWidth="1"/>
    <col min="5930" max="5930" width="6.6640625" style="181" customWidth="1"/>
    <col min="5931" max="5931" width="5.83203125" style="181" bestFit="1" customWidth="1"/>
    <col min="5932" max="5932" width="5.6640625" style="181" bestFit="1" customWidth="1"/>
    <col min="5933" max="5933" width="4.83203125" style="181" bestFit="1" customWidth="1"/>
    <col min="5934" max="5934" width="5.6640625" style="181" bestFit="1" customWidth="1"/>
    <col min="5935" max="5935" width="4.83203125" style="181" bestFit="1" customWidth="1"/>
    <col min="5936" max="5936" width="5.6640625" style="181" bestFit="1" customWidth="1"/>
    <col min="5937" max="5937" width="5.33203125" style="181" bestFit="1" customWidth="1"/>
    <col min="5938" max="5938" width="6.33203125" style="181" bestFit="1" customWidth="1"/>
    <col min="5939" max="5939" width="8.83203125" style="181" customWidth="1"/>
    <col min="5940" max="5950" width="5.83203125" style="181" bestFit="1" customWidth="1"/>
    <col min="5951" max="6148" width="8.83203125" style="181"/>
    <col min="6149" max="6149" width="8.33203125" style="181" customWidth="1"/>
    <col min="6150" max="6150" width="7" style="181" customWidth="1"/>
    <col min="6151" max="6151" width="5.33203125" style="181" bestFit="1" customWidth="1"/>
    <col min="6152" max="6152" width="6.83203125" style="181" bestFit="1" customWidth="1"/>
    <col min="6153" max="6153" width="7.83203125" style="181" bestFit="1" customWidth="1"/>
    <col min="6154" max="6155" width="6.83203125" style="181" customWidth="1"/>
    <col min="6156" max="6156" width="8.5" style="181" customWidth="1"/>
    <col min="6157" max="6157" width="9" style="181" customWidth="1"/>
    <col min="6158" max="6158" width="5.83203125" style="181" bestFit="1" customWidth="1"/>
    <col min="6159" max="6159" width="6.33203125" style="181" bestFit="1" customWidth="1"/>
    <col min="6160" max="6160" width="5.6640625" style="181" bestFit="1" customWidth="1"/>
    <col min="6161" max="6161" width="4.83203125" style="181" bestFit="1" customWidth="1"/>
    <col min="6162" max="6162" width="5.6640625" style="181" bestFit="1" customWidth="1"/>
    <col min="6163" max="6163" width="4.83203125" style="181" bestFit="1" customWidth="1"/>
    <col min="6164" max="6164" width="4.33203125" style="181" bestFit="1" customWidth="1"/>
    <col min="6165" max="6165" width="5.33203125" style="181" bestFit="1" customWidth="1"/>
    <col min="6166" max="6166" width="5.5" style="181" customWidth="1"/>
    <col min="6167" max="6167" width="5.33203125" style="181" bestFit="1" customWidth="1"/>
    <col min="6168" max="6168" width="6" style="181" customWidth="1"/>
    <col min="6169" max="6169" width="5" style="181" customWidth="1"/>
    <col min="6170" max="6170" width="5.83203125" style="181" customWidth="1"/>
    <col min="6171" max="6171" width="7.33203125" style="181" bestFit="1" customWidth="1"/>
    <col min="6172" max="6173" width="6.33203125" style="181" bestFit="1" customWidth="1"/>
    <col min="6174" max="6183" width="6.33203125" style="181" customWidth="1"/>
    <col min="6184" max="6184" width="7.1640625" style="181" bestFit="1" customWidth="1"/>
    <col min="6185" max="6185" width="4.5" style="181" bestFit="1" customWidth="1"/>
    <col min="6186" max="6186" width="6.6640625" style="181" customWidth="1"/>
    <col min="6187" max="6187" width="5.83203125" style="181" bestFit="1" customWidth="1"/>
    <col min="6188" max="6188" width="5.6640625" style="181" bestFit="1" customWidth="1"/>
    <col min="6189" max="6189" width="4.83203125" style="181" bestFit="1" customWidth="1"/>
    <col min="6190" max="6190" width="5.6640625" style="181" bestFit="1" customWidth="1"/>
    <col min="6191" max="6191" width="4.83203125" style="181" bestFit="1" customWidth="1"/>
    <col min="6192" max="6192" width="5.6640625" style="181" bestFit="1" customWidth="1"/>
    <col min="6193" max="6193" width="5.33203125" style="181" bestFit="1" customWidth="1"/>
    <col min="6194" max="6194" width="6.33203125" style="181" bestFit="1" customWidth="1"/>
    <col min="6195" max="6195" width="8.83203125" style="181" customWidth="1"/>
    <col min="6196" max="6206" width="5.83203125" style="181" bestFit="1" customWidth="1"/>
    <col min="6207" max="6404" width="8.83203125" style="181"/>
    <col min="6405" max="6405" width="8.33203125" style="181" customWidth="1"/>
    <col min="6406" max="6406" width="7" style="181" customWidth="1"/>
    <col min="6407" max="6407" width="5.33203125" style="181" bestFit="1" customWidth="1"/>
    <col min="6408" max="6408" width="6.83203125" style="181" bestFit="1" customWidth="1"/>
    <col min="6409" max="6409" width="7.83203125" style="181" bestFit="1" customWidth="1"/>
    <col min="6410" max="6411" width="6.83203125" style="181" customWidth="1"/>
    <col min="6412" max="6412" width="8.5" style="181" customWidth="1"/>
    <col min="6413" max="6413" width="9" style="181" customWidth="1"/>
    <col min="6414" max="6414" width="5.83203125" style="181" bestFit="1" customWidth="1"/>
    <col min="6415" max="6415" width="6.33203125" style="181" bestFit="1" customWidth="1"/>
    <col min="6416" max="6416" width="5.6640625" style="181" bestFit="1" customWidth="1"/>
    <col min="6417" max="6417" width="4.83203125" style="181" bestFit="1" customWidth="1"/>
    <col min="6418" max="6418" width="5.6640625" style="181" bestFit="1" customWidth="1"/>
    <col min="6419" max="6419" width="4.83203125" style="181" bestFit="1" customWidth="1"/>
    <col min="6420" max="6420" width="4.33203125" style="181" bestFit="1" customWidth="1"/>
    <col min="6421" max="6421" width="5.33203125" style="181" bestFit="1" customWidth="1"/>
    <col min="6422" max="6422" width="5.5" style="181" customWidth="1"/>
    <col min="6423" max="6423" width="5.33203125" style="181" bestFit="1" customWidth="1"/>
    <col min="6424" max="6424" width="6" style="181" customWidth="1"/>
    <col min="6425" max="6425" width="5" style="181" customWidth="1"/>
    <col min="6426" max="6426" width="5.83203125" style="181" customWidth="1"/>
    <col min="6427" max="6427" width="7.33203125" style="181" bestFit="1" customWidth="1"/>
    <col min="6428" max="6429" width="6.33203125" style="181" bestFit="1" customWidth="1"/>
    <col min="6430" max="6439" width="6.33203125" style="181" customWidth="1"/>
    <col min="6440" max="6440" width="7.1640625" style="181" bestFit="1" customWidth="1"/>
    <col min="6441" max="6441" width="4.5" style="181" bestFit="1" customWidth="1"/>
    <col min="6442" max="6442" width="6.6640625" style="181" customWidth="1"/>
    <col min="6443" max="6443" width="5.83203125" style="181" bestFit="1" customWidth="1"/>
    <col min="6444" max="6444" width="5.6640625" style="181" bestFit="1" customWidth="1"/>
    <col min="6445" max="6445" width="4.83203125" style="181" bestFit="1" customWidth="1"/>
    <col min="6446" max="6446" width="5.6640625" style="181" bestFit="1" customWidth="1"/>
    <col min="6447" max="6447" width="4.83203125" style="181" bestFit="1" customWidth="1"/>
    <col min="6448" max="6448" width="5.6640625" style="181" bestFit="1" customWidth="1"/>
    <col min="6449" max="6449" width="5.33203125" style="181" bestFit="1" customWidth="1"/>
    <col min="6450" max="6450" width="6.33203125" style="181" bestFit="1" customWidth="1"/>
    <col min="6451" max="6451" width="8.83203125" style="181" customWidth="1"/>
    <col min="6452" max="6462" width="5.83203125" style="181" bestFit="1" customWidth="1"/>
    <col min="6463" max="6660" width="8.83203125" style="181"/>
    <col min="6661" max="6661" width="8.33203125" style="181" customWidth="1"/>
    <col min="6662" max="6662" width="7" style="181" customWidth="1"/>
    <col min="6663" max="6663" width="5.33203125" style="181" bestFit="1" customWidth="1"/>
    <col min="6664" max="6664" width="6.83203125" style="181" bestFit="1" customWidth="1"/>
    <col min="6665" max="6665" width="7.83203125" style="181" bestFit="1" customWidth="1"/>
    <col min="6666" max="6667" width="6.83203125" style="181" customWidth="1"/>
    <col min="6668" max="6668" width="8.5" style="181" customWidth="1"/>
    <col min="6669" max="6669" width="9" style="181" customWidth="1"/>
    <col min="6670" max="6670" width="5.83203125" style="181" bestFit="1" customWidth="1"/>
    <col min="6671" max="6671" width="6.33203125" style="181" bestFit="1" customWidth="1"/>
    <col min="6672" max="6672" width="5.6640625" style="181" bestFit="1" customWidth="1"/>
    <col min="6673" max="6673" width="4.83203125" style="181" bestFit="1" customWidth="1"/>
    <col min="6674" max="6674" width="5.6640625" style="181" bestFit="1" customWidth="1"/>
    <col min="6675" max="6675" width="4.83203125" style="181" bestFit="1" customWidth="1"/>
    <col min="6676" max="6676" width="4.33203125" style="181" bestFit="1" customWidth="1"/>
    <col min="6677" max="6677" width="5.33203125" style="181" bestFit="1" customWidth="1"/>
    <col min="6678" max="6678" width="5.5" style="181" customWidth="1"/>
    <col min="6679" max="6679" width="5.33203125" style="181" bestFit="1" customWidth="1"/>
    <col min="6680" max="6680" width="6" style="181" customWidth="1"/>
    <col min="6681" max="6681" width="5" style="181" customWidth="1"/>
    <col min="6682" max="6682" width="5.83203125" style="181" customWidth="1"/>
    <col min="6683" max="6683" width="7.33203125" style="181" bestFit="1" customWidth="1"/>
    <col min="6684" max="6685" width="6.33203125" style="181" bestFit="1" customWidth="1"/>
    <col min="6686" max="6695" width="6.33203125" style="181" customWidth="1"/>
    <col min="6696" max="6696" width="7.1640625" style="181" bestFit="1" customWidth="1"/>
    <col min="6697" max="6697" width="4.5" style="181" bestFit="1" customWidth="1"/>
    <col min="6698" max="6698" width="6.6640625" style="181" customWidth="1"/>
    <col min="6699" max="6699" width="5.83203125" style="181" bestFit="1" customWidth="1"/>
    <col min="6700" max="6700" width="5.6640625" style="181" bestFit="1" customWidth="1"/>
    <col min="6701" max="6701" width="4.83203125" style="181" bestFit="1" customWidth="1"/>
    <col min="6702" max="6702" width="5.6640625" style="181" bestFit="1" customWidth="1"/>
    <col min="6703" max="6703" width="4.83203125" style="181" bestFit="1" customWidth="1"/>
    <col min="6704" max="6704" width="5.6640625" style="181" bestFit="1" customWidth="1"/>
    <col min="6705" max="6705" width="5.33203125" style="181" bestFit="1" customWidth="1"/>
    <col min="6706" max="6706" width="6.33203125" style="181" bestFit="1" customWidth="1"/>
    <col min="6707" max="6707" width="8.83203125" style="181" customWidth="1"/>
    <col min="6708" max="6718" width="5.83203125" style="181" bestFit="1" customWidth="1"/>
    <col min="6719" max="6916" width="8.83203125" style="181"/>
    <col min="6917" max="6917" width="8.33203125" style="181" customWidth="1"/>
    <col min="6918" max="6918" width="7" style="181" customWidth="1"/>
    <col min="6919" max="6919" width="5.33203125" style="181" bestFit="1" customWidth="1"/>
    <col min="6920" max="6920" width="6.83203125" style="181" bestFit="1" customWidth="1"/>
    <col min="6921" max="6921" width="7.83203125" style="181" bestFit="1" customWidth="1"/>
    <col min="6922" max="6923" width="6.83203125" style="181" customWidth="1"/>
    <col min="6924" max="6924" width="8.5" style="181" customWidth="1"/>
    <col min="6925" max="6925" width="9" style="181" customWidth="1"/>
    <col min="6926" max="6926" width="5.83203125" style="181" bestFit="1" customWidth="1"/>
    <col min="6927" max="6927" width="6.33203125" style="181" bestFit="1" customWidth="1"/>
    <col min="6928" max="6928" width="5.6640625" style="181" bestFit="1" customWidth="1"/>
    <col min="6929" max="6929" width="4.83203125" style="181" bestFit="1" customWidth="1"/>
    <col min="6930" max="6930" width="5.6640625" style="181" bestFit="1" customWidth="1"/>
    <col min="6931" max="6931" width="4.83203125" style="181" bestFit="1" customWidth="1"/>
    <col min="6932" max="6932" width="4.33203125" style="181" bestFit="1" customWidth="1"/>
    <col min="6933" max="6933" width="5.33203125" style="181" bestFit="1" customWidth="1"/>
    <col min="6934" max="6934" width="5.5" style="181" customWidth="1"/>
    <col min="6935" max="6935" width="5.33203125" style="181" bestFit="1" customWidth="1"/>
    <col min="6936" max="6936" width="6" style="181" customWidth="1"/>
    <col min="6937" max="6937" width="5" style="181" customWidth="1"/>
    <col min="6938" max="6938" width="5.83203125" style="181" customWidth="1"/>
    <col min="6939" max="6939" width="7.33203125" style="181" bestFit="1" customWidth="1"/>
    <col min="6940" max="6941" width="6.33203125" style="181" bestFit="1" customWidth="1"/>
    <col min="6942" max="6951" width="6.33203125" style="181" customWidth="1"/>
    <col min="6952" max="6952" width="7.1640625" style="181" bestFit="1" customWidth="1"/>
    <col min="6953" max="6953" width="4.5" style="181" bestFit="1" customWidth="1"/>
    <col min="6954" max="6954" width="6.6640625" style="181" customWidth="1"/>
    <col min="6955" max="6955" width="5.83203125" style="181" bestFit="1" customWidth="1"/>
    <col min="6956" max="6956" width="5.6640625" style="181" bestFit="1" customWidth="1"/>
    <col min="6957" max="6957" width="4.83203125" style="181" bestFit="1" customWidth="1"/>
    <col min="6958" max="6958" width="5.6640625" style="181" bestFit="1" customWidth="1"/>
    <col min="6959" max="6959" width="4.83203125" style="181" bestFit="1" customWidth="1"/>
    <col min="6960" max="6960" width="5.6640625" style="181" bestFit="1" customWidth="1"/>
    <col min="6961" max="6961" width="5.33203125" style="181" bestFit="1" customWidth="1"/>
    <col min="6962" max="6962" width="6.33203125" style="181" bestFit="1" customWidth="1"/>
    <col min="6963" max="6963" width="8.83203125" style="181" customWidth="1"/>
    <col min="6964" max="6974" width="5.83203125" style="181" bestFit="1" customWidth="1"/>
    <col min="6975" max="7172" width="8.83203125" style="181"/>
    <col min="7173" max="7173" width="8.33203125" style="181" customWidth="1"/>
    <col min="7174" max="7174" width="7" style="181" customWidth="1"/>
    <col min="7175" max="7175" width="5.33203125" style="181" bestFit="1" customWidth="1"/>
    <col min="7176" max="7176" width="6.83203125" style="181" bestFit="1" customWidth="1"/>
    <col min="7177" max="7177" width="7.83203125" style="181" bestFit="1" customWidth="1"/>
    <col min="7178" max="7179" width="6.83203125" style="181" customWidth="1"/>
    <col min="7180" max="7180" width="8.5" style="181" customWidth="1"/>
    <col min="7181" max="7181" width="9" style="181" customWidth="1"/>
    <col min="7182" max="7182" width="5.83203125" style="181" bestFit="1" customWidth="1"/>
    <col min="7183" max="7183" width="6.33203125" style="181" bestFit="1" customWidth="1"/>
    <col min="7184" max="7184" width="5.6640625" style="181" bestFit="1" customWidth="1"/>
    <col min="7185" max="7185" width="4.83203125" style="181" bestFit="1" customWidth="1"/>
    <col min="7186" max="7186" width="5.6640625" style="181" bestFit="1" customWidth="1"/>
    <col min="7187" max="7187" width="4.83203125" style="181" bestFit="1" customWidth="1"/>
    <col min="7188" max="7188" width="4.33203125" style="181" bestFit="1" customWidth="1"/>
    <col min="7189" max="7189" width="5.33203125" style="181" bestFit="1" customWidth="1"/>
    <col min="7190" max="7190" width="5.5" style="181" customWidth="1"/>
    <col min="7191" max="7191" width="5.33203125" style="181" bestFit="1" customWidth="1"/>
    <col min="7192" max="7192" width="6" style="181" customWidth="1"/>
    <col min="7193" max="7193" width="5" style="181" customWidth="1"/>
    <col min="7194" max="7194" width="5.83203125" style="181" customWidth="1"/>
    <col min="7195" max="7195" width="7.33203125" style="181" bestFit="1" customWidth="1"/>
    <col min="7196" max="7197" width="6.33203125" style="181" bestFit="1" customWidth="1"/>
    <col min="7198" max="7207" width="6.33203125" style="181" customWidth="1"/>
    <col min="7208" max="7208" width="7.1640625" style="181" bestFit="1" customWidth="1"/>
    <col min="7209" max="7209" width="4.5" style="181" bestFit="1" customWidth="1"/>
    <col min="7210" max="7210" width="6.6640625" style="181" customWidth="1"/>
    <col min="7211" max="7211" width="5.83203125" style="181" bestFit="1" customWidth="1"/>
    <col min="7212" max="7212" width="5.6640625" style="181" bestFit="1" customWidth="1"/>
    <col min="7213" max="7213" width="4.83203125" style="181" bestFit="1" customWidth="1"/>
    <col min="7214" max="7214" width="5.6640625" style="181" bestFit="1" customWidth="1"/>
    <col min="7215" max="7215" width="4.83203125" style="181" bestFit="1" customWidth="1"/>
    <col min="7216" max="7216" width="5.6640625" style="181" bestFit="1" customWidth="1"/>
    <col min="7217" max="7217" width="5.33203125" style="181" bestFit="1" customWidth="1"/>
    <col min="7218" max="7218" width="6.33203125" style="181" bestFit="1" customWidth="1"/>
    <col min="7219" max="7219" width="8.83203125" style="181" customWidth="1"/>
    <col min="7220" max="7230" width="5.83203125" style="181" bestFit="1" customWidth="1"/>
    <col min="7231" max="7428" width="8.83203125" style="181"/>
    <col min="7429" max="7429" width="8.33203125" style="181" customWidth="1"/>
    <col min="7430" max="7430" width="7" style="181" customWidth="1"/>
    <col min="7431" max="7431" width="5.33203125" style="181" bestFit="1" customWidth="1"/>
    <col min="7432" max="7432" width="6.83203125" style="181" bestFit="1" customWidth="1"/>
    <col min="7433" max="7433" width="7.83203125" style="181" bestFit="1" customWidth="1"/>
    <col min="7434" max="7435" width="6.83203125" style="181" customWidth="1"/>
    <col min="7436" max="7436" width="8.5" style="181" customWidth="1"/>
    <col min="7437" max="7437" width="9" style="181" customWidth="1"/>
    <col min="7438" max="7438" width="5.83203125" style="181" bestFit="1" customWidth="1"/>
    <col min="7439" max="7439" width="6.33203125" style="181" bestFit="1" customWidth="1"/>
    <col min="7440" max="7440" width="5.6640625" style="181" bestFit="1" customWidth="1"/>
    <col min="7441" max="7441" width="4.83203125" style="181" bestFit="1" customWidth="1"/>
    <col min="7442" max="7442" width="5.6640625" style="181" bestFit="1" customWidth="1"/>
    <col min="7443" max="7443" width="4.83203125" style="181" bestFit="1" customWidth="1"/>
    <col min="7444" max="7444" width="4.33203125" style="181" bestFit="1" customWidth="1"/>
    <col min="7445" max="7445" width="5.33203125" style="181" bestFit="1" customWidth="1"/>
    <col min="7446" max="7446" width="5.5" style="181" customWidth="1"/>
    <col min="7447" max="7447" width="5.33203125" style="181" bestFit="1" customWidth="1"/>
    <col min="7448" max="7448" width="6" style="181" customWidth="1"/>
    <col min="7449" max="7449" width="5" style="181" customWidth="1"/>
    <col min="7450" max="7450" width="5.83203125" style="181" customWidth="1"/>
    <col min="7451" max="7451" width="7.33203125" style="181" bestFit="1" customWidth="1"/>
    <col min="7452" max="7453" width="6.33203125" style="181" bestFit="1" customWidth="1"/>
    <col min="7454" max="7463" width="6.33203125" style="181" customWidth="1"/>
    <col min="7464" max="7464" width="7.1640625" style="181" bestFit="1" customWidth="1"/>
    <col min="7465" max="7465" width="4.5" style="181" bestFit="1" customWidth="1"/>
    <col min="7466" max="7466" width="6.6640625" style="181" customWidth="1"/>
    <col min="7467" max="7467" width="5.83203125" style="181" bestFit="1" customWidth="1"/>
    <col min="7468" max="7468" width="5.6640625" style="181" bestFit="1" customWidth="1"/>
    <col min="7469" max="7469" width="4.83203125" style="181" bestFit="1" customWidth="1"/>
    <col min="7470" max="7470" width="5.6640625" style="181" bestFit="1" customWidth="1"/>
    <col min="7471" max="7471" width="4.83203125" style="181" bestFit="1" customWidth="1"/>
    <col min="7472" max="7472" width="5.6640625" style="181" bestFit="1" customWidth="1"/>
    <col min="7473" max="7473" width="5.33203125" style="181" bestFit="1" customWidth="1"/>
    <col min="7474" max="7474" width="6.33203125" style="181" bestFit="1" customWidth="1"/>
    <col min="7475" max="7475" width="8.83203125" style="181" customWidth="1"/>
    <col min="7476" max="7486" width="5.83203125" style="181" bestFit="1" customWidth="1"/>
    <col min="7487" max="7684" width="8.83203125" style="181"/>
    <col min="7685" max="7685" width="8.33203125" style="181" customWidth="1"/>
    <col min="7686" max="7686" width="7" style="181" customWidth="1"/>
    <col min="7687" max="7687" width="5.33203125" style="181" bestFit="1" customWidth="1"/>
    <col min="7688" max="7688" width="6.83203125" style="181" bestFit="1" customWidth="1"/>
    <col min="7689" max="7689" width="7.83203125" style="181" bestFit="1" customWidth="1"/>
    <col min="7690" max="7691" width="6.83203125" style="181" customWidth="1"/>
    <col min="7692" max="7692" width="8.5" style="181" customWidth="1"/>
    <col min="7693" max="7693" width="9" style="181" customWidth="1"/>
    <col min="7694" max="7694" width="5.83203125" style="181" bestFit="1" customWidth="1"/>
    <col min="7695" max="7695" width="6.33203125" style="181" bestFit="1" customWidth="1"/>
    <col min="7696" max="7696" width="5.6640625" style="181" bestFit="1" customWidth="1"/>
    <col min="7697" max="7697" width="4.83203125" style="181" bestFit="1" customWidth="1"/>
    <col min="7698" max="7698" width="5.6640625" style="181" bestFit="1" customWidth="1"/>
    <col min="7699" max="7699" width="4.83203125" style="181" bestFit="1" customWidth="1"/>
    <col min="7700" max="7700" width="4.33203125" style="181" bestFit="1" customWidth="1"/>
    <col min="7701" max="7701" width="5.33203125" style="181" bestFit="1" customWidth="1"/>
    <col min="7702" max="7702" width="5.5" style="181" customWidth="1"/>
    <col min="7703" max="7703" width="5.33203125" style="181" bestFit="1" customWidth="1"/>
    <col min="7704" max="7704" width="6" style="181" customWidth="1"/>
    <col min="7705" max="7705" width="5" style="181" customWidth="1"/>
    <col min="7706" max="7706" width="5.83203125" style="181" customWidth="1"/>
    <col min="7707" max="7707" width="7.33203125" style="181" bestFit="1" customWidth="1"/>
    <col min="7708" max="7709" width="6.33203125" style="181" bestFit="1" customWidth="1"/>
    <col min="7710" max="7719" width="6.33203125" style="181" customWidth="1"/>
    <col min="7720" max="7720" width="7.1640625" style="181" bestFit="1" customWidth="1"/>
    <col min="7721" max="7721" width="4.5" style="181" bestFit="1" customWidth="1"/>
    <col min="7722" max="7722" width="6.6640625" style="181" customWidth="1"/>
    <col min="7723" max="7723" width="5.83203125" style="181" bestFit="1" customWidth="1"/>
    <col min="7724" max="7724" width="5.6640625" style="181" bestFit="1" customWidth="1"/>
    <col min="7725" max="7725" width="4.83203125" style="181" bestFit="1" customWidth="1"/>
    <col min="7726" max="7726" width="5.6640625" style="181" bestFit="1" customWidth="1"/>
    <col min="7727" max="7727" width="4.83203125" style="181" bestFit="1" customWidth="1"/>
    <col min="7728" max="7728" width="5.6640625" style="181" bestFit="1" customWidth="1"/>
    <col min="7729" max="7729" width="5.33203125" style="181" bestFit="1" customWidth="1"/>
    <col min="7730" max="7730" width="6.33203125" style="181" bestFit="1" customWidth="1"/>
    <col min="7731" max="7731" width="8.83203125" style="181" customWidth="1"/>
    <col min="7732" max="7742" width="5.83203125" style="181" bestFit="1" customWidth="1"/>
    <col min="7743" max="7940" width="8.83203125" style="181"/>
    <col min="7941" max="7941" width="8.33203125" style="181" customWidth="1"/>
    <col min="7942" max="7942" width="7" style="181" customWidth="1"/>
    <col min="7943" max="7943" width="5.33203125" style="181" bestFit="1" customWidth="1"/>
    <col min="7944" max="7944" width="6.83203125" style="181" bestFit="1" customWidth="1"/>
    <col min="7945" max="7945" width="7.83203125" style="181" bestFit="1" customWidth="1"/>
    <col min="7946" max="7947" width="6.83203125" style="181" customWidth="1"/>
    <col min="7948" max="7948" width="8.5" style="181" customWidth="1"/>
    <col min="7949" max="7949" width="9" style="181" customWidth="1"/>
    <col min="7950" max="7950" width="5.83203125" style="181" bestFit="1" customWidth="1"/>
    <col min="7951" max="7951" width="6.33203125" style="181" bestFit="1" customWidth="1"/>
    <col min="7952" max="7952" width="5.6640625" style="181" bestFit="1" customWidth="1"/>
    <col min="7953" max="7953" width="4.83203125" style="181" bestFit="1" customWidth="1"/>
    <col min="7954" max="7954" width="5.6640625" style="181" bestFit="1" customWidth="1"/>
    <col min="7955" max="7955" width="4.83203125" style="181" bestFit="1" customWidth="1"/>
    <col min="7956" max="7956" width="4.33203125" style="181" bestFit="1" customWidth="1"/>
    <col min="7957" max="7957" width="5.33203125" style="181" bestFit="1" customWidth="1"/>
    <col min="7958" max="7958" width="5.5" style="181" customWidth="1"/>
    <col min="7959" max="7959" width="5.33203125" style="181" bestFit="1" customWidth="1"/>
    <col min="7960" max="7960" width="6" style="181" customWidth="1"/>
    <col min="7961" max="7961" width="5" style="181" customWidth="1"/>
    <col min="7962" max="7962" width="5.83203125" style="181" customWidth="1"/>
    <col min="7963" max="7963" width="7.33203125" style="181" bestFit="1" customWidth="1"/>
    <col min="7964" max="7965" width="6.33203125" style="181" bestFit="1" customWidth="1"/>
    <col min="7966" max="7975" width="6.33203125" style="181" customWidth="1"/>
    <col min="7976" max="7976" width="7.1640625" style="181" bestFit="1" customWidth="1"/>
    <col min="7977" max="7977" width="4.5" style="181" bestFit="1" customWidth="1"/>
    <col min="7978" max="7978" width="6.6640625" style="181" customWidth="1"/>
    <col min="7979" max="7979" width="5.83203125" style="181" bestFit="1" customWidth="1"/>
    <col min="7980" max="7980" width="5.6640625" style="181" bestFit="1" customWidth="1"/>
    <col min="7981" max="7981" width="4.83203125" style="181" bestFit="1" customWidth="1"/>
    <col min="7982" max="7982" width="5.6640625" style="181" bestFit="1" customWidth="1"/>
    <col min="7983" max="7983" width="4.83203125" style="181" bestFit="1" customWidth="1"/>
    <col min="7984" max="7984" width="5.6640625" style="181" bestFit="1" customWidth="1"/>
    <col min="7985" max="7985" width="5.33203125" style="181" bestFit="1" customWidth="1"/>
    <col min="7986" max="7986" width="6.33203125" style="181" bestFit="1" customWidth="1"/>
    <col min="7987" max="7987" width="8.83203125" style="181" customWidth="1"/>
    <col min="7988" max="7998" width="5.83203125" style="181" bestFit="1" customWidth="1"/>
    <col min="7999" max="8196" width="8.83203125" style="181"/>
    <col min="8197" max="8197" width="8.33203125" style="181" customWidth="1"/>
    <col min="8198" max="8198" width="7" style="181" customWidth="1"/>
    <col min="8199" max="8199" width="5.33203125" style="181" bestFit="1" customWidth="1"/>
    <col min="8200" max="8200" width="6.83203125" style="181" bestFit="1" customWidth="1"/>
    <col min="8201" max="8201" width="7.83203125" style="181" bestFit="1" customWidth="1"/>
    <col min="8202" max="8203" width="6.83203125" style="181" customWidth="1"/>
    <col min="8204" max="8204" width="8.5" style="181" customWidth="1"/>
    <col min="8205" max="8205" width="9" style="181" customWidth="1"/>
    <col min="8206" max="8206" width="5.83203125" style="181" bestFit="1" customWidth="1"/>
    <col min="8207" max="8207" width="6.33203125" style="181" bestFit="1" customWidth="1"/>
    <col min="8208" max="8208" width="5.6640625" style="181" bestFit="1" customWidth="1"/>
    <col min="8209" max="8209" width="4.83203125" style="181" bestFit="1" customWidth="1"/>
    <col min="8210" max="8210" width="5.6640625" style="181" bestFit="1" customWidth="1"/>
    <col min="8211" max="8211" width="4.83203125" style="181" bestFit="1" customWidth="1"/>
    <col min="8212" max="8212" width="4.33203125" style="181" bestFit="1" customWidth="1"/>
    <col min="8213" max="8213" width="5.33203125" style="181" bestFit="1" customWidth="1"/>
    <col min="8214" max="8214" width="5.5" style="181" customWidth="1"/>
    <col min="8215" max="8215" width="5.33203125" style="181" bestFit="1" customWidth="1"/>
    <col min="8216" max="8216" width="6" style="181" customWidth="1"/>
    <col min="8217" max="8217" width="5" style="181" customWidth="1"/>
    <col min="8218" max="8218" width="5.83203125" style="181" customWidth="1"/>
    <col min="8219" max="8219" width="7.33203125" style="181" bestFit="1" customWidth="1"/>
    <col min="8220" max="8221" width="6.33203125" style="181" bestFit="1" customWidth="1"/>
    <col min="8222" max="8231" width="6.33203125" style="181" customWidth="1"/>
    <col min="8232" max="8232" width="7.1640625" style="181" bestFit="1" customWidth="1"/>
    <col min="8233" max="8233" width="4.5" style="181" bestFit="1" customWidth="1"/>
    <col min="8234" max="8234" width="6.6640625" style="181" customWidth="1"/>
    <col min="8235" max="8235" width="5.83203125" style="181" bestFit="1" customWidth="1"/>
    <col min="8236" max="8236" width="5.6640625" style="181" bestFit="1" customWidth="1"/>
    <col min="8237" max="8237" width="4.83203125" style="181" bestFit="1" customWidth="1"/>
    <col min="8238" max="8238" width="5.6640625" style="181" bestFit="1" customWidth="1"/>
    <col min="8239" max="8239" width="4.83203125" style="181" bestFit="1" customWidth="1"/>
    <col min="8240" max="8240" width="5.6640625" style="181" bestFit="1" customWidth="1"/>
    <col min="8241" max="8241" width="5.33203125" style="181" bestFit="1" customWidth="1"/>
    <col min="8242" max="8242" width="6.33203125" style="181" bestFit="1" customWidth="1"/>
    <col min="8243" max="8243" width="8.83203125" style="181" customWidth="1"/>
    <col min="8244" max="8254" width="5.83203125" style="181" bestFit="1" customWidth="1"/>
    <col min="8255" max="8452" width="8.83203125" style="181"/>
    <col min="8453" max="8453" width="8.33203125" style="181" customWidth="1"/>
    <col min="8454" max="8454" width="7" style="181" customWidth="1"/>
    <col min="8455" max="8455" width="5.33203125" style="181" bestFit="1" customWidth="1"/>
    <col min="8456" max="8456" width="6.83203125" style="181" bestFit="1" customWidth="1"/>
    <col min="8457" max="8457" width="7.83203125" style="181" bestFit="1" customWidth="1"/>
    <col min="8458" max="8459" width="6.83203125" style="181" customWidth="1"/>
    <col min="8460" max="8460" width="8.5" style="181" customWidth="1"/>
    <col min="8461" max="8461" width="9" style="181" customWidth="1"/>
    <col min="8462" max="8462" width="5.83203125" style="181" bestFit="1" customWidth="1"/>
    <col min="8463" max="8463" width="6.33203125" style="181" bestFit="1" customWidth="1"/>
    <col min="8464" max="8464" width="5.6640625" style="181" bestFit="1" customWidth="1"/>
    <col min="8465" max="8465" width="4.83203125" style="181" bestFit="1" customWidth="1"/>
    <col min="8466" max="8466" width="5.6640625" style="181" bestFit="1" customWidth="1"/>
    <col min="8467" max="8467" width="4.83203125" style="181" bestFit="1" customWidth="1"/>
    <col min="8468" max="8468" width="4.33203125" style="181" bestFit="1" customWidth="1"/>
    <col min="8469" max="8469" width="5.33203125" style="181" bestFit="1" customWidth="1"/>
    <col min="8470" max="8470" width="5.5" style="181" customWidth="1"/>
    <col min="8471" max="8471" width="5.33203125" style="181" bestFit="1" customWidth="1"/>
    <col min="8472" max="8472" width="6" style="181" customWidth="1"/>
    <col min="8473" max="8473" width="5" style="181" customWidth="1"/>
    <col min="8474" max="8474" width="5.83203125" style="181" customWidth="1"/>
    <col min="8475" max="8475" width="7.33203125" style="181" bestFit="1" customWidth="1"/>
    <col min="8476" max="8477" width="6.33203125" style="181" bestFit="1" customWidth="1"/>
    <col min="8478" max="8487" width="6.33203125" style="181" customWidth="1"/>
    <col min="8488" max="8488" width="7.1640625" style="181" bestFit="1" customWidth="1"/>
    <col min="8489" max="8489" width="4.5" style="181" bestFit="1" customWidth="1"/>
    <col min="8490" max="8490" width="6.6640625" style="181" customWidth="1"/>
    <col min="8491" max="8491" width="5.83203125" style="181" bestFit="1" customWidth="1"/>
    <col min="8492" max="8492" width="5.6640625" style="181" bestFit="1" customWidth="1"/>
    <col min="8493" max="8493" width="4.83203125" style="181" bestFit="1" customWidth="1"/>
    <col min="8494" max="8494" width="5.6640625" style="181" bestFit="1" customWidth="1"/>
    <col min="8495" max="8495" width="4.83203125" style="181" bestFit="1" customWidth="1"/>
    <col min="8496" max="8496" width="5.6640625" style="181" bestFit="1" customWidth="1"/>
    <col min="8497" max="8497" width="5.33203125" style="181" bestFit="1" customWidth="1"/>
    <col min="8498" max="8498" width="6.33203125" style="181" bestFit="1" customWidth="1"/>
    <col min="8499" max="8499" width="8.83203125" style="181" customWidth="1"/>
    <col min="8500" max="8510" width="5.83203125" style="181" bestFit="1" customWidth="1"/>
    <col min="8511" max="8708" width="8.83203125" style="181"/>
    <col min="8709" max="8709" width="8.33203125" style="181" customWidth="1"/>
    <col min="8710" max="8710" width="7" style="181" customWidth="1"/>
    <col min="8711" max="8711" width="5.33203125" style="181" bestFit="1" customWidth="1"/>
    <col min="8712" max="8712" width="6.83203125" style="181" bestFit="1" customWidth="1"/>
    <col min="8713" max="8713" width="7.83203125" style="181" bestFit="1" customWidth="1"/>
    <col min="8714" max="8715" width="6.83203125" style="181" customWidth="1"/>
    <col min="8716" max="8716" width="8.5" style="181" customWidth="1"/>
    <col min="8717" max="8717" width="9" style="181" customWidth="1"/>
    <col min="8718" max="8718" width="5.83203125" style="181" bestFit="1" customWidth="1"/>
    <col min="8719" max="8719" width="6.33203125" style="181" bestFit="1" customWidth="1"/>
    <col min="8720" max="8720" width="5.6640625" style="181" bestFit="1" customWidth="1"/>
    <col min="8721" max="8721" width="4.83203125" style="181" bestFit="1" customWidth="1"/>
    <col min="8722" max="8722" width="5.6640625" style="181" bestFit="1" customWidth="1"/>
    <col min="8723" max="8723" width="4.83203125" style="181" bestFit="1" customWidth="1"/>
    <col min="8724" max="8724" width="4.33203125" style="181" bestFit="1" customWidth="1"/>
    <col min="8725" max="8725" width="5.33203125" style="181" bestFit="1" customWidth="1"/>
    <col min="8726" max="8726" width="5.5" style="181" customWidth="1"/>
    <col min="8727" max="8727" width="5.33203125" style="181" bestFit="1" customWidth="1"/>
    <col min="8728" max="8728" width="6" style="181" customWidth="1"/>
    <col min="8729" max="8729" width="5" style="181" customWidth="1"/>
    <col min="8730" max="8730" width="5.83203125" style="181" customWidth="1"/>
    <col min="8731" max="8731" width="7.33203125" style="181" bestFit="1" customWidth="1"/>
    <col min="8732" max="8733" width="6.33203125" style="181" bestFit="1" customWidth="1"/>
    <col min="8734" max="8743" width="6.33203125" style="181" customWidth="1"/>
    <col min="8744" max="8744" width="7.1640625" style="181" bestFit="1" customWidth="1"/>
    <col min="8745" max="8745" width="4.5" style="181" bestFit="1" customWidth="1"/>
    <col min="8746" max="8746" width="6.6640625" style="181" customWidth="1"/>
    <col min="8747" max="8747" width="5.83203125" style="181" bestFit="1" customWidth="1"/>
    <col min="8748" max="8748" width="5.6640625" style="181" bestFit="1" customWidth="1"/>
    <col min="8749" max="8749" width="4.83203125" style="181" bestFit="1" customWidth="1"/>
    <col min="8750" max="8750" width="5.6640625" style="181" bestFit="1" customWidth="1"/>
    <col min="8751" max="8751" width="4.83203125" style="181" bestFit="1" customWidth="1"/>
    <col min="8752" max="8752" width="5.6640625" style="181" bestFit="1" customWidth="1"/>
    <col min="8753" max="8753" width="5.33203125" style="181" bestFit="1" customWidth="1"/>
    <col min="8754" max="8754" width="6.33203125" style="181" bestFit="1" customWidth="1"/>
    <col min="8755" max="8755" width="8.83203125" style="181" customWidth="1"/>
    <col min="8756" max="8766" width="5.83203125" style="181" bestFit="1" customWidth="1"/>
    <col min="8767" max="8964" width="8.83203125" style="181"/>
    <col min="8965" max="8965" width="8.33203125" style="181" customWidth="1"/>
    <col min="8966" max="8966" width="7" style="181" customWidth="1"/>
    <col min="8967" max="8967" width="5.33203125" style="181" bestFit="1" customWidth="1"/>
    <col min="8968" max="8968" width="6.83203125" style="181" bestFit="1" customWidth="1"/>
    <col min="8969" max="8969" width="7.83203125" style="181" bestFit="1" customWidth="1"/>
    <col min="8970" max="8971" width="6.83203125" style="181" customWidth="1"/>
    <col min="8972" max="8972" width="8.5" style="181" customWidth="1"/>
    <col min="8973" max="8973" width="9" style="181" customWidth="1"/>
    <col min="8974" max="8974" width="5.83203125" style="181" bestFit="1" customWidth="1"/>
    <col min="8975" max="8975" width="6.33203125" style="181" bestFit="1" customWidth="1"/>
    <col min="8976" max="8976" width="5.6640625" style="181" bestFit="1" customWidth="1"/>
    <col min="8977" max="8977" width="4.83203125" style="181" bestFit="1" customWidth="1"/>
    <col min="8978" max="8978" width="5.6640625" style="181" bestFit="1" customWidth="1"/>
    <col min="8979" max="8979" width="4.83203125" style="181" bestFit="1" customWidth="1"/>
    <col min="8980" max="8980" width="4.33203125" style="181" bestFit="1" customWidth="1"/>
    <col min="8981" max="8981" width="5.33203125" style="181" bestFit="1" customWidth="1"/>
    <col min="8982" max="8982" width="5.5" style="181" customWidth="1"/>
    <col min="8983" max="8983" width="5.33203125" style="181" bestFit="1" customWidth="1"/>
    <col min="8984" max="8984" width="6" style="181" customWidth="1"/>
    <col min="8985" max="8985" width="5" style="181" customWidth="1"/>
    <col min="8986" max="8986" width="5.83203125" style="181" customWidth="1"/>
    <col min="8987" max="8987" width="7.33203125" style="181" bestFit="1" customWidth="1"/>
    <col min="8988" max="8989" width="6.33203125" style="181" bestFit="1" customWidth="1"/>
    <col min="8990" max="8999" width="6.33203125" style="181" customWidth="1"/>
    <col min="9000" max="9000" width="7.1640625" style="181" bestFit="1" customWidth="1"/>
    <col min="9001" max="9001" width="4.5" style="181" bestFit="1" customWidth="1"/>
    <col min="9002" max="9002" width="6.6640625" style="181" customWidth="1"/>
    <col min="9003" max="9003" width="5.83203125" style="181" bestFit="1" customWidth="1"/>
    <col min="9004" max="9004" width="5.6640625" style="181" bestFit="1" customWidth="1"/>
    <col min="9005" max="9005" width="4.83203125" style="181" bestFit="1" customWidth="1"/>
    <col min="9006" max="9006" width="5.6640625" style="181" bestFit="1" customWidth="1"/>
    <col min="9007" max="9007" width="4.83203125" style="181" bestFit="1" customWidth="1"/>
    <col min="9008" max="9008" width="5.6640625" style="181" bestFit="1" customWidth="1"/>
    <col min="9009" max="9009" width="5.33203125" style="181" bestFit="1" customWidth="1"/>
    <col min="9010" max="9010" width="6.33203125" style="181" bestFit="1" customWidth="1"/>
    <col min="9011" max="9011" width="8.83203125" style="181" customWidth="1"/>
    <col min="9012" max="9022" width="5.83203125" style="181" bestFit="1" customWidth="1"/>
    <col min="9023" max="9220" width="8.83203125" style="181"/>
    <col min="9221" max="9221" width="8.33203125" style="181" customWidth="1"/>
    <col min="9222" max="9222" width="7" style="181" customWidth="1"/>
    <col min="9223" max="9223" width="5.33203125" style="181" bestFit="1" customWidth="1"/>
    <col min="9224" max="9224" width="6.83203125" style="181" bestFit="1" customWidth="1"/>
    <col min="9225" max="9225" width="7.83203125" style="181" bestFit="1" customWidth="1"/>
    <col min="9226" max="9227" width="6.83203125" style="181" customWidth="1"/>
    <col min="9228" max="9228" width="8.5" style="181" customWidth="1"/>
    <col min="9229" max="9229" width="9" style="181" customWidth="1"/>
    <col min="9230" max="9230" width="5.83203125" style="181" bestFit="1" customWidth="1"/>
    <col min="9231" max="9231" width="6.33203125" style="181" bestFit="1" customWidth="1"/>
    <col min="9232" max="9232" width="5.6640625" style="181" bestFit="1" customWidth="1"/>
    <col min="9233" max="9233" width="4.83203125" style="181" bestFit="1" customWidth="1"/>
    <col min="9234" max="9234" width="5.6640625" style="181" bestFit="1" customWidth="1"/>
    <col min="9235" max="9235" width="4.83203125" style="181" bestFit="1" customWidth="1"/>
    <col min="9236" max="9236" width="4.33203125" style="181" bestFit="1" customWidth="1"/>
    <col min="9237" max="9237" width="5.33203125" style="181" bestFit="1" customWidth="1"/>
    <col min="9238" max="9238" width="5.5" style="181" customWidth="1"/>
    <col min="9239" max="9239" width="5.33203125" style="181" bestFit="1" customWidth="1"/>
    <col min="9240" max="9240" width="6" style="181" customWidth="1"/>
    <col min="9241" max="9241" width="5" style="181" customWidth="1"/>
    <col min="9242" max="9242" width="5.83203125" style="181" customWidth="1"/>
    <col min="9243" max="9243" width="7.33203125" style="181" bestFit="1" customWidth="1"/>
    <col min="9244" max="9245" width="6.33203125" style="181" bestFit="1" customWidth="1"/>
    <col min="9246" max="9255" width="6.33203125" style="181" customWidth="1"/>
    <col min="9256" max="9256" width="7.1640625" style="181" bestFit="1" customWidth="1"/>
    <col min="9257" max="9257" width="4.5" style="181" bestFit="1" customWidth="1"/>
    <col min="9258" max="9258" width="6.6640625" style="181" customWidth="1"/>
    <col min="9259" max="9259" width="5.83203125" style="181" bestFit="1" customWidth="1"/>
    <col min="9260" max="9260" width="5.6640625" style="181" bestFit="1" customWidth="1"/>
    <col min="9261" max="9261" width="4.83203125" style="181" bestFit="1" customWidth="1"/>
    <col min="9262" max="9262" width="5.6640625" style="181" bestFit="1" customWidth="1"/>
    <col min="9263" max="9263" width="4.83203125" style="181" bestFit="1" customWidth="1"/>
    <col min="9264" max="9264" width="5.6640625" style="181" bestFit="1" customWidth="1"/>
    <col min="9265" max="9265" width="5.33203125" style="181" bestFit="1" customWidth="1"/>
    <col min="9266" max="9266" width="6.33203125" style="181" bestFit="1" customWidth="1"/>
    <col min="9267" max="9267" width="8.83203125" style="181" customWidth="1"/>
    <col min="9268" max="9278" width="5.83203125" style="181" bestFit="1" customWidth="1"/>
    <col min="9279" max="9476" width="8.83203125" style="181"/>
    <col min="9477" max="9477" width="8.33203125" style="181" customWidth="1"/>
    <col min="9478" max="9478" width="7" style="181" customWidth="1"/>
    <col min="9479" max="9479" width="5.33203125" style="181" bestFit="1" customWidth="1"/>
    <col min="9480" max="9480" width="6.83203125" style="181" bestFit="1" customWidth="1"/>
    <col min="9481" max="9481" width="7.83203125" style="181" bestFit="1" customWidth="1"/>
    <col min="9482" max="9483" width="6.83203125" style="181" customWidth="1"/>
    <col min="9484" max="9484" width="8.5" style="181" customWidth="1"/>
    <col min="9485" max="9485" width="9" style="181" customWidth="1"/>
    <col min="9486" max="9486" width="5.83203125" style="181" bestFit="1" customWidth="1"/>
    <col min="9487" max="9487" width="6.33203125" style="181" bestFit="1" customWidth="1"/>
    <col min="9488" max="9488" width="5.6640625" style="181" bestFit="1" customWidth="1"/>
    <col min="9489" max="9489" width="4.83203125" style="181" bestFit="1" customWidth="1"/>
    <col min="9490" max="9490" width="5.6640625" style="181" bestFit="1" customWidth="1"/>
    <col min="9491" max="9491" width="4.83203125" style="181" bestFit="1" customWidth="1"/>
    <col min="9492" max="9492" width="4.33203125" style="181" bestFit="1" customWidth="1"/>
    <col min="9493" max="9493" width="5.33203125" style="181" bestFit="1" customWidth="1"/>
    <col min="9494" max="9494" width="5.5" style="181" customWidth="1"/>
    <col min="9495" max="9495" width="5.33203125" style="181" bestFit="1" customWidth="1"/>
    <col min="9496" max="9496" width="6" style="181" customWidth="1"/>
    <col min="9497" max="9497" width="5" style="181" customWidth="1"/>
    <col min="9498" max="9498" width="5.83203125" style="181" customWidth="1"/>
    <col min="9499" max="9499" width="7.33203125" style="181" bestFit="1" customWidth="1"/>
    <col min="9500" max="9501" width="6.33203125" style="181" bestFit="1" customWidth="1"/>
    <col min="9502" max="9511" width="6.33203125" style="181" customWidth="1"/>
    <col min="9512" max="9512" width="7.1640625" style="181" bestFit="1" customWidth="1"/>
    <col min="9513" max="9513" width="4.5" style="181" bestFit="1" customWidth="1"/>
    <col min="9514" max="9514" width="6.6640625" style="181" customWidth="1"/>
    <col min="9515" max="9515" width="5.83203125" style="181" bestFit="1" customWidth="1"/>
    <col min="9516" max="9516" width="5.6640625" style="181" bestFit="1" customWidth="1"/>
    <col min="9517" max="9517" width="4.83203125" style="181" bestFit="1" customWidth="1"/>
    <col min="9518" max="9518" width="5.6640625" style="181" bestFit="1" customWidth="1"/>
    <col min="9519" max="9519" width="4.83203125" style="181" bestFit="1" customWidth="1"/>
    <col min="9520" max="9520" width="5.6640625" style="181" bestFit="1" customWidth="1"/>
    <col min="9521" max="9521" width="5.33203125" style="181" bestFit="1" customWidth="1"/>
    <col min="9522" max="9522" width="6.33203125" style="181" bestFit="1" customWidth="1"/>
    <col min="9523" max="9523" width="8.83203125" style="181" customWidth="1"/>
    <col min="9524" max="9534" width="5.83203125" style="181" bestFit="1" customWidth="1"/>
    <col min="9535" max="9732" width="8.83203125" style="181"/>
    <col min="9733" max="9733" width="8.33203125" style="181" customWidth="1"/>
    <col min="9734" max="9734" width="7" style="181" customWidth="1"/>
    <col min="9735" max="9735" width="5.33203125" style="181" bestFit="1" customWidth="1"/>
    <col min="9736" max="9736" width="6.83203125" style="181" bestFit="1" customWidth="1"/>
    <col min="9737" max="9737" width="7.83203125" style="181" bestFit="1" customWidth="1"/>
    <col min="9738" max="9739" width="6.83203125" style="181" customWidth="1"/>
    <col min="9740" max="9740" width="8.5" style="181" customWidth="1"/>
    <col min="9741" max="9741" width="9" style="181" customWidth="1"/>
    <col min="9742" max="9742" width="5.83203125" style="181" bestFit="1" customWidth="1"/>
    <col min="9743" max="9743" width="6.33203125" style="181" bestFit="1" customWidth="1"/>
    <col min="9744" max="9744" width="5.6640625" style="181" bestFit="1" customWidth="1"/>
    <col min="9745" max="9745" width="4.83203125" style="181" bestFit="1" customWidth="1"/>
    <col min="9746" max="9746" width="5.6640625" style="181" bestFit="1" customWidth="1"/>
    <col min="9747" max="9747" width="4.83203125" style="181" bestFit="1" customWidth="1"/>
    <col min="9748" max="9748" width="4.33203125" style="181" bestFit="1" customWidth="1"/>
    <col min="9749" max="9749" width="5.33203125" style="181" bestFit="1" customWidth="1"/>
    <col min="9750" max="9750" width="5.5" style="181" customWidth="1"/>
    <col min="9751" max="9751" width="5.33203125" style="181" bestFit="1" customWidth="1"/>
    <col min="9752" max="9752" width="6" style="181" customWidth="1"/>
    <col min="9753" max="9753" width="5" style="181" customWidth="1"/>
    <col min="9754" max="9754" width="5.83203125" style="181" customWidth="1"/>
    <col min="9755" max="9755" width="7.33203125" style="181" bestFit="1" customWidth="1"/>
    <col min="9756" max="9757" width="6.33203125" style="181" bestFit="1" customWidth="1"/>
    <col min="9758" max="9767" width="6.33203125" style="181" customWidth="1"/>
    <col min="9768" max="9768" width="7.1640625" style="181" bestFit="1" customWidth="1"/>
    <col min="9769" max="9769" width="4.5" style="181" bestFit="1" customWidth="1"/>
    <col min="9770" max="9770" width="6.6640625" style="181" customWidth="1"/>
    <col min="9771" max="9771" width="5.83203125" style="181" bestFit="1" customWidth="1"/>
    <col min="9772" max="9772" width="5.6640625" style="181" bestFit="1" customWidth="1"/>
    <col min="9773" max="9773" width="4.83203125" style="181" bestFit="1" customWidth="1"/>
    <col min="9774" max="9774" width="5.6640625" style="181" bestFit="1" customWidth="1"/>
    <col min="9775" max="9775" width="4.83203125" style="181" bestFit="1" customWidth="1"/>
    <col min="9776" max="9776" width="5.6640625" style="181" bestFit="1" customWidth="1"/>
    <col min="9777" max="9777" width="5.33203125" style="181" bestFit="1" customWidth="1"/>
    <col min="9778" max="9778" width="6.33203125" style="181" bestFit="1" customWidth="1"/>
    <col min="9779" max="9779" width="8.83203125" style="181" customWidth="1"/>
    <col min="9780" max="9790" width="5.83203125" style="181" bestFit="1" customWidth="1"/>
    <col min="9791" max="9988" width="8.83203125" style="181"/>
    <col min="9989" max="9989" width="8.33203125" style="181" customWidth="1"/>
    <col min="9990" max="9990" width="7" style="181" customWidth="1"/>
    <col min="9991" max="9991" width="5.33203125" style="181" bestFit="1" customWidth="1"/>
    <col min="9992" max="9992" width="6.83203125" style="181" bestFit="1" customWidth="1"/>
    <col min="9993" max="9993" width="7.83203125" style="181" bestFit="1" customWidth="1"/>
    <col min="9994" max="9995" width="6.83203125" style="181" customWidth="1"/>
    <col min="9996" max="9996" width="8.5" style="181" customWidth="1"/>
    <col min="9997" max="9997" width="9" style="181" customWidth="1"/>
    <col min="9998" max="9998" width="5.83203125" style="181" bestFit="1" customWidth="1"/>
    <col min="9999" max="9999" width="6.33203125" style="181" bestFit="1" customWidth="1"/>
    <col min="10000" max="10000" width="5.6640625" style="181" bestFit="1" customWidth="1"/>
    <col min="10001" max="10001" width="4.83203125" style="181" bestFit="1" customWidth="1"/>
    <col min="10002" max="10002" width="5.6640625" style="181" bestFit="1" customWidth="1"/>
    <col min="10003" max="10003" width="4.83203125" style="181" bestFit="1" customWidth="1"/>
    <col min="10004" max="10004" width="4.33203125" style="181" bestFit="1" customWidth="1"/>
    <col min="10005" max="10005" width="5.33203125" style="181" bestFit="1" customWidth="1"/>
    <col min="10006" max="10006" width="5.5" style="181" customWidth="1"/>
    <col min="10007" max="10007" width="5.33203125" style="181" bestFit="1" customWidth="1"/>
    <col min="10008" max="10008" width="6" style="181" customWidth="1"/>
    <col min="10009" max="10009" width="5" style="181" customWidth="1"/>
    <col min="10010" max="10010" width="5.83203125" style="181" customWidth="1"/>
    <col min="10011" max="10011" width="7.33203125" style="181" bestFit="1" customWidth="1"/>
    <col min="10012" max="10013" width="6.33203125" style="181" bestFit="1" customWidth="1"/>
    <col min="10014" max="10023" width="6.33203125" style="181" customWidth="1"/>
    <col min="10024" max="10024" width="7.1640625" style="181" bestFit="1" customWidth="1"/>
    <col min="10025" max="10025" width="4.5" style="181" bestFit="1" customWidth="1"/>
    <col min="10026" max="10026" width="6.6640625" style="181" customWidth="1"/>
    <col min="10027" max="10027" width="5.83203125" style="181" bestFit="1" customWidth="1"/>
    <col min="10028" max="10028" width="5.6640625" style="181" bestFit="1" customWidth="1"/>
    <col min="10029" max="10029" width="4.83203125" style="181" bestFit="1" customWidth="1"/>
    <col min="10030" max="10030" width="5.6640625" style="181" bestFit="1" customWidth="1"/>
    <col min="10031" max="10031" width="4.83203125" style="181" bestFit="1" customWidth="1"/>
    <col min="10032" max="10032" width="5.6640625" style="181" bestFit="1" customWidth="1"/>
    <col min="10033" max="10033" width="5.33203125" style="181" bestFit="1" customWidth="1"/>
    <col min="10034" max="10034" width="6.33203125" style="181" bestFit="1" customWidth="1"/>
    <col min="10035" max="10035" width="8.83203125" style="181" customWidth="1"/>
    <col min="10036" max="10046" width="5.83203125" style="181" bestFit="1" customWidth="1"/>
    <col min="10047" max="10244" width="8.83203125" style="181"/>
    <col min="10245" max="10245" width="8.33203125" style="181" customWidth="1"/>
    <col min="10246" max="10246" width="7" style="181" customWidth="1"/>
    <col min="10247" max="10247" width="5.33203125" style="181" bestFit="1" customWidth="1"/>
    <col min="10248" max="10248" width="6.83203125" style="181" bestFit="1" customWidth="1"/>
    <col min="10249" max="10249" width="7.83203125" style="181" bestFit="1" customWidth="1"/>
    <col min="10250" max="10251" width="6.83203125" style="181" customWidth="1"/>
    <col min="10252" max="10252" width="8.5" style="181" customWidth="1"/>
    <col min="10253" max="10253" width="9" style="181" customWidth="1"/>
    <col min="10254" max="10254" width="5.83203125" style="181" bestFit="1" customWidth="1"/>
    <col min="10255" max="10255" width="6.33203125" style="181" bestFit="1" customWidth="1"/>
    <col min="10256" max="10256" width="5.6640625" style="181" bestFit="1" customWidth="1"/>
    <col min="10257" max="10257" width="4.83203125" style="181" bestFit="1" customWidth="1"/>
    <col min="10258" max="10258" width="5.6640625" style="181" bestFit="1" customWidth="1"/>
    <col min="10259" max="10259" width="4.83203125" style="181" bestFit="1" customWidth="1"/>
    <col min="10260" max="10260" width="4.33203125" style="181" bestFit="1" customWidth="1"/>
    <col min="10261" max="10261" width="5.33203125" style="181" bestFit="1" customWidth="1"/>
    <col min="10262" max="10262" width="5.5" style="181" customWidth="1"/>
    <col min="10263" max="10263" width="5.33203125" style="181" bestFit="1" customWidth="1"/>
    <col min="10264" max="10264" width="6" style="181" customWidth="1"/>
    <col min="10265" max="10265" width="5" style="181" customWidth="1"/>
    <col min="10266" max="10266" width="5.83203125" style="181" customWidth="1"/>
    <col min="10267" max="10267" width="7.33203125" style="181" bestFit="1" customWidth="1"/>
    <col min="10268" max="10269" width="6.33203125" style="181" bestFit="1" customWidth="1"/>
    <col min="10270" max="10279" width="6.33203125" style="181" customWidth="1"/>
    <col min="10280" max="10280" width="7.1640625" style="181" bestFit="1" customWidth="1"/>
    <col min="10281" max="10281" width="4.5" style="181" bestFit="1" customWidth="1"/>
    <col min="10282" max="10282" width="6.6640625" style="181" customWidth="1"/>
    <col min="10283" max="10283" width="5.83203125" style="181" bestFit="1" customWidth="1"/>
    <col min="10284" max="10284" width="5.6640625" style="181" bestFit="1" customWidth="1"/>
    <col min="10285" max="10285" width="4.83203125" style="181" bestFit="1" customWidth="1"/>
    <col min="10286" max="10286" width="5.6640625" style="181" bestFit="1" customWidth="1"/>
    <col min="10287" max="10287" width="4.83203125" style="181" bestFit="1" customWidth="1"/>
    <col min="10288" max="10288" width="5.6640625" style="181" bestFit="1" customWidth="1"/>
    <col min="10289" max="10289" width="5.33203125" style="181" bestFit="1" customWidth="1"/>
    <col min="10290" max="10290" width="6.33203125" style="181" bestFit="1" customWidth="1"/>
    <col min="10291" max="10291" width="8.83203125" style="181" customWidth="1"/>
    <col min="10292" max="10302" width="5.83203125" style="181" bestFit="1" customWidth="1"/>
    <col min="10303" max="10500" width="8.83203125" style="181"/>
    <col min="10501" max="10501" width="8.33203125" style="181" customWidth="1"/>
    <col min="10502" max="10502" width="7" style="181" customWidth="1"/>
    <col min="10503" max="10503" width="5.33203125" style="181" bestFit="1" customWidth="1"/>
    <col min="10504" max="10504" width="6.83203125" style="181" bestFit="1" customWidth="1"/>
    <col min="10505" max="10505" width="7.83203125" style="181" bestFit="1" customWidth="1"/>
    <col min="10506" max="10507" width="6.83203125" style="181" customWidth="1"/>
    <col min="10508" max="10508" width="8.5" style="181" customWidth="1"/>
    <col min="10509" max="10509" width="9" style="181" customWidth="1"/>
    <col min="10510" max="10510" width="5.83203125" style="181" bestFit="1" customWidth="1"/>
    <col min="10511" max="10511" width="6.33203125" style="181" bestFit="1" customWidth="1"/>
    <col min="10512" max="10512" width="5.6640625" style="181" bestFit="1" customWidth="1"/>
    <col min="10513" max="10513" width="4.83203125" style="181" bestFit="1" customWidth="1"/>
    <col min="10514" max="10514" width="5.6640625" style="181" bestFit="1" customWidth="1"/>
    <col min="10515" max="10515" width="4.83203125" style="181" bestFit="1" customWidth="1"/>
    <col min="10516" max="10516" width="4.33203125" style="181" bestFit="1" customWidth="1"/>
    <col min="10517" max="10517" width="5.33203125" style="181" bestFit="1" customWidth="1"/>
    <col min="10518" max="10518" width="5.5" style="181" customWidth="1"/>
    <col min="10519" max="10519" width="5.33203125" style="181" bestFit="1" customWidth="1"/>
    <col min="10520" max="10520" width="6" style="181" customWidth="1"/>
    <col min="10521" max="10521" width="5" style="181" customWidth="1"/>
    <col min="10522" max="10522" width="5.83203125" style="181" customWidth="1"/>
    <col min="10523" max="10523" width="7.33203125" style="181" bestFit="1" customWidth="1"/>
    <col min="10524" max="10525" width="6.33203125" style="181" bestFit="1" customWidth="1"/>
    <col min="10526" max="10535" width="6.33203125" style="181" customWidth="1"/>
    <col min="10536" max="10536" width="7.1640625" style="181" bestFit="1" customWidth="1"/>
    <col min="10537" max="10537" width="4.5" style="181" bestFit="1" customWidth="1"/>
    <col min="10538" max="10538" width="6.6640625" style="181" customWidth="1"/>
    <col min="10539" max="10539" width="5.83203125" style="181" bestFit="1" customWidth="1"/>
    <col min="10540" max="10540" width="5.6640625" style="181" bestFit="1" customWidth="1"/>
    <col min="10541" max="10541" width="4.83203125" style="181" bestFit="1" customWidth="1"/>
    <col min="10542" max="10542" width="5.6640625" style="181" bestFit="1" customWidth="1"/>
    <col min="10543" max="10543" width="4.83203125" style="181" bestFit="1" customWidth="1"/>
    <col min="10544" max="10544" width="5.6640625" style="181" bestFit="1" customWidth="1"/>
    <col min="10545" max="10545" width="5.33203125" style="181" bestFit="1" customWidth="1"/>
    <col min="10546" max="10546" width="6.33203125" style="181" bestFit="1" customWidth="1"/>
    <col min="10547" max="10547" width="8.83203125" style="181" customWidth="1"/>
    <col min="10548" max="10558" width="5.83203125" style="181" bestFit="1" customWidth="1"/>
    <col min="10559" max="10756" width="8.83203125" style="181"/>
    <col min="10757" max="10757" width="8.33203125" style="181" customWidth="1"/>
    <col min="10758" max="10758" width="7" style="181" customWidth="1"/>
    <col min="10759" max="10759" width="5.33203125" style="181" bestFit="1" customWidth="1"/>
    <col min="10760" max="10760" width="6.83203125" style="181" bestFit="1" customWidth="1"/>
    <col min="10761" max="10761" width="7.83203125" style="181" bestFit="1" customWidth="1"/>
    <col min="10762" max="10763" width="6.83203125" style="181" customWidth="1"/>
    <col min="10764" max="10764" width="8.5" style="181" customWidth="1"/>
    <col min="10765" max="10765" width="9" style="181" customWidth="1"/>
    <col min="10766" max="10766" width="5.83203125" style="181" bestFit="1" customWidth="1"/>
    <col min="10767" max="10767" width="6.33203125" style="181" bestFit="1" customWidth="1"/>
    <col min="10768" max="10768" width="5.6640625" style="181" bestFit="1" customWidth="1"/>
    <col min="10769" max="10769" width="4.83203125" style="181" bestFit="1" customWidth="1"/>
    <col min="10770" max="10770" width="5.6640625" style="181" bestFit="1" customWidth="1"/>
    <col min="10771" max="10771" width="4.83203125" style="181" bestFit="1" customWidth="1"/>
    <col min="10772" max="10772" width="4.33203125" style="181" bestFit="1" customWidth="1"/>
    <col min="10773" max="10773" width="5.33203125" style="181" bestFit="1" customWidth="1"/>
    <col min="10774" max="10774" width="5.5" style="181" customWidth="1"/>
    <col min="10775" max="10775" width="5.33203125" style="181" bestFit="1" customWidth="1"/>
    <col min="10776" max="10776" width="6" style="181" customWidth="1"/>
    <col min="10777" max="10777" width="5" style="181" customWidth="1"/>
    <col min="10778" max="10778" width="5.83203125" style="181" customWidth="1"/>
    <col min="10779" max="10779" width="7.33203125" style="181" bestFit="1" customWidth="1"/>
    <col min="10780" max="10781" width="6.33203125" style="181" bestFit="1" customWidth="1"/>
    <col min="10782" max="10791" width="6.33203125" style="181" customWidth="1"/>
    <col min="10792" max="10792" width="7.1640625" style="181" bestFit="1" customWidth="1"/>
    <col min="10793" max="10793" width="4.5" style="181" bestFit="1" customWidth="1"/>
    <col min="10794" max="10794" width="6.6640625" style="181" customWidth="1"/>
    <col min="10795" max="10795" width="5.83203125" style="181" bestFit="1" customWidth="1"/>
    <col min="10796" max="10796" width="5.6640625" style="181" bestFit="1" customWidth="1"/>
    <col min="10797" max="10797" width="4.83203125" style="181" bestFit="1" customWidth="1"/>
    <col min="10798" max="10798" width="5.6640625" style="181" bestFit="1" customWidth="1"/>
    <col min="10799" max="10799" width="4.83203125" style="181" bestFit="1" customWidth="1"/>
    <col min="10800" max="10800" width="5.6640625" style="181" bestFit="1" customWidth="1"/>
    <col min="10801" max="10801" width="5.33203125" style="181" bestFit="1" customWidth="1"/>
    <col min="10802" max="10802" width="6.33203125" style="181" bestFit="1" customWidth="1"/>
    <col min="10803" max="10803" width="8.83203125" style="181" customWidth="1"/>
    <col min="10804" max="10814" width="5.83203125" style="181" bestFit="1" customWidth="1"/>
    <col min="10815" max="11012" width="8.83203125" style="181"/>
    <col min="11013" max="11013" width="8.33203125" style="181" customWidth="1"/>
    <col min="11014" max="11014" width="7" style="181" customWidth="1"/>
    <col min="11015" max="11015" width="5.33203125" style="181" bestFit="1" customWidth="1"/>
    <col min="11016" max="11016" width="6.83203125" style="181" bestFit="1" customWidth="1"/>
    <col min="11017" max="11017" width="7.83203125" style="181" bestFit="1" customWidth="1"/>
    <col min="11018" max="11019" width="6.83203125" style="181" customWidth="1"/>
    <col min="11020" max="11020" width="8.5" style="181" customWidth="1"/>
    <col min="11021" max="11021" width="9" style="181" customWidth="1"/>
    <col min="11022" max="11022" width="5.83203125" style="181" bestFit="1" customWidth="1"/>
    <col min="11023" max="11023" width="6.33203125" style="181" bestFit="1" customWidth="1"/>
    <col min="11024" max="11024" width="5.6640625" style="181" bestFit="1" customWidth="1"/>
    <col min="11025" max="11025" width="4.83203125" style="181" bestFit="1" customWidth="1"/>
    <col min="11026" max="11026" width="5.6640625" style="181" bestFit="1" customWidth="1"/>
    <col min="11027" max="11027" width="4.83203125" style="181" bestFit="1" customWidth="1"/>
    <col min="11028" max="11028" width="4.33203125" style="181" bestFit="1" customWidth="1"/>
    <col min="11029" max="11029" width="5.33203125" style="181" bestFit="1" customWidth="1"/>
    <col min="11030" max="11030" width="5.5" style="181" customWidth="1"/>
    <col min="11031" max="11031" width="5.33203125" style="181" bestFit="1" customWidth="1"/>
    <col min="11032" max="11032" width="6" style="181" customWidth="1"/>
    <col min="11033" max="11033" width="5" style="181" customWidth="1"/>
    <col min="11034" max="11034" width="5.83203125" style="181" customWidth="1"/>
    <col min="11035" max="11035" width="7.33203125" style="181" bestFit="1" customWidth="1"/>
    <col min="11036" max="11037" width="6.33203125" style="181" bestFit="1" customWidth="1"/>
    <col min="11038" max="11047" width="6.33203125" style="181" customWidth="1"/>
    <col min="11048" max="11048" width="7.1640625" style="181" bestFit="1" customWidth="1"/>
    <col min="11049" max="11049" width="4.5" style="181" bestFit="1" customWidth="1"/>
    <col min="11050" max="11050" width="6.6640625" style="181" customWidth="1"/>
    <col min="11051" max="11051" width="5.83203125" style="181" bestFit="1" customWidth="1"/>
    <col min="11052" max="11052" width="5.6640625" style="181" bestFit="1" customWidth="1"/>
    <col min="11053" max="11053" width="4.83203125" style="181" bestFit="1" customWidth="1"/>
    <col min="11054" max="11054" width="5.6640625" style="181" bestFit="1" customWidth="1"/>
    <col min="11055" max="11055" width="4.83203125" style="181" bestFit="1" customWidth="1"/>
    <col min="11056" max="11056" width="5.6640625" style="181" bestFit="1" customWidth="1"/>
    <col min="11057" max="11057" width="5.33203125" style="181" bestFit="1" customWidth="1"/>
    <col min="11058" max="11058" width="6.33203125" style="181" bestFit="1" customWidth="1"/>
    <col min="11059" max="11059" width="8.83203125" style="181" customWidth="1"/>
    <col min="11060" max="11070" width="5.83203125" style="181" bestFit="1" customWidth="1"/>
    <col min="11071" max="11268" width="8.83203125" style="181"/>
    <col min="11269" max="11269" width="8.33203125" style="181" customWidth="1"/>
    <col min="11270" max="11270" width="7" style="181" customWidth="1"/>
    <col min="11271" max="11271" width="5.33203125" style="181" bestFit="1" customWidth="1"/>
    <col min="11272" max="11272" width="6.83203125" style="181" bestFit="1" customWidth="1"/>
    <col min="11273" max="11273" width="7.83203125" style="181" bestFit="1" customWidth="1"/>
    <col min="11274" max="11275" width="6.83203125" style="181" customWidth="1"/>
    <col min="11276" max="11276" width="8.5" style="181" customWidth="1"/>
    <col min="11277" max="11277" width="9" style="181" customWidth="1"/>
    <col min="11278" max="11278" width="5.83203125" style="181" bestFit="1" customWidth="1"/>
    <col min="11279" max="11279" width="6.33203125" style="181" bestFit="1" customWidth="1"/>
    <col min="11280" max="11280" width="5.6640625" style="181" bestFit="1" customWidth="1"/>
    <col min="11281" max="11281" width="4.83203125" style="181" bestFit="1" customWidth="1"/>
    <col min="11282" max="11282" width="5.6640625" style="181" bestFit="1" customWidth="1"/>
    <col min="11283" max="11283" width="4.83203125" style="181" bestFit="1" customWidth="1"/>
    <col min="11284" max="11284" width="4.33203125" style="181" bestFit="1" customWidth="1"/>
    <col min="11285" max="11285" width="5.33203125" style="181" bestFit="1" customWidth="1"/>
    <col min="11286" max="11286" width="5.5" style="181" customWidth="1"/>
    <col min="11287" max="11287" width="5.33203125" style="181" bestFit="1" customWidth="1"/>
    <col min="11288" max="11288" width="6" style="181" customWidth="1"/>
    <col min="11289" max="11289" width="5" style="181" customWidth="1"/>
    <col min="11290" max="11290" width="5.83203125" style="181" customWidth="1"/>
    <col min="11291" max="11291" width="7.33203125" style="181" bestFit="1" customWidth="1"/>
    <col min="11292" max="11293" width="6.33203125" style="181" bestFit="1" customWidth="1"/>
    <col min="11294" max="11303" width="6.33203125" style="181" customWidth="1"/>
    <col min="11304" max="11304" width="7.1640625" style="181" bestFit="1" customWidth="1"/>
    <col min="11305" max="11305" width="4.5" style="181" bestFit="1" customWidth="1"/>
    <col min="11306" max="11306" width="6.6640625" style="181" customWidth="1"/>
    <col min="11307" max="11307" width="5.83203125" style="181" bestFit="1" customWidth="1"/>
    <col min="11308" max="11308" width="5.6640625" style="181" bestFit="1" customWidth="1"/>
    <col min="11309" max="11309" width="4.83203125" style="181" bestFit="1" customWidth="1"/>
    <col min="11310" max="11310" width="5.6640625" style="181" bestFit="1" customWidth="1"/>
    <col min="11311" max="11311" width="4.83203125" style="181" bestFit="1" customWidth="1"/>
    <col min="11312" max="11312" width="5.6640625" style="181" bestFit="1" customWidth="1"/>
    <col min="11313" max="11313" width="5.33203125" style="181" bestFit="1" customWidth="1"/>
    <col min="11314" max="11314" width="6.33203125" style="181" bestFit="1" customWidth="1"/>
    <col min="11315" max="11315" width="8.83203125" style="181" customWidth="1"/>
    <col min="11316" max="11326" width="5.83203125" style="181" bestFit="1" customWidth="1"/>
    <col min="11327" max="11524" width="8.83203125" style="181"/>
    <col min="11525" max="11525" width="8.33203125" style="181" customWidth="1"/>
    <col min="11526" max="11526" width="7" style="181" customWidth="1"/>
    <col min="11527" max="11527" width="5.33203125" style="181" bestFit="1" customWidth="1"/>
    <col min="11528" max="11528" width="6.83203125" style="181" bestFit="1" customWidth="1"/>
    <col min="11529" max="11529" width="7.83203125" style="181" bestFit="1" customWidth="1"/>
    <col min="11530" max="11531" width="6.83203125" style="181" customWidth="1"/>
    <col min="11532" max="11532" width="8.5" style="181" customWidth="1"/>
    <col min="11533" max="11533" width="9" style="181" customWidth="1"/>
    <col min="11534" max="11534" width="5.83203125" style="181" bestFit="1" customWidth="1"/>
    <col min="11535" max="11535" width="6.33203125" style="181" bestFit="1" customWidth="1"/>
    <col min="11536" max="11536" width="5.6640625" style="181" bestFit="1" customWidth="1"/>
    <col min="11537" max="11537" width="4.83203125" style="181" bestFit="1" customWidth="1"/>
    <col min="11538" max="11538" width="5.6640625" style="181" bestFit="1" customWidth="1"/>
    <col min="11539" max="11539" width="4.83203125" style="181" bestFit="1" customWidth="1"/>
    <col min="11540" max="11540" width="4.33203125" style="181" bestFit="1" customWidth="1"/>
    <col min="11541" max="11541" width="5.33203125" style="181" bestFit="1" customWidth="1"/>
    <col min="11542" max="11542" width="5.5" style="181" customWidth="1"/>
    <col min="11543" max="11543" width="5.33203125" style="181" bestFit="1" customWidth="1"/>
    <col min="11544" max="11544" width="6" style="181" customWidth="1"/>
    <col min="11545" max="11545" width="5" style="181" customWidth="1"/>
    <col min="11546" max="11546" width="5.83203125" style="181" customWidth="1"/>
    <col min="11547" max="11547" width="7.33203125" style="181" bestFit="1" customWidth="1"/>
    <col min="11548" max="11549" width="6.33203125" style="181" bestFit="1" customWidth="1"/>
    <col min="11550" max="11559" width="6.33203125" style="181" customWidth="1"/>
    <col min="11560" max="11560" width="7.1640625" style="181" bestFit="1" customWidth="1"/>
    <col min="11561" max="11561" width="4.5" style="181" bestFit="1" customWidth="1"/>
    <col min="11562" max="11562" width="6.6640625" style="181" customWidth="1"/>
    <col min="11563" max="11563" width="5.83203125" style="181" bestFit="1" customWidth="1"/>
    <col min="11564" max="11564" width="5.6640625" style="181" bestFit="1" customWidth="1"/>
    <col min="11565" max="11565" width="4.83203125" style="181" bestFit="1" customWidth="1"/>
    <col min="11566" max="11566" width="5.6640625" style="181" bestFit="1" customWidth="1"/>
    <col min="11567" max="11567" width="4.83203125" style="181" bestFit="1" customWidth="1"/>
    <col min="11568" max="11568" width="5.6640625" style="181" bestFit="1" customWidth="1"/>
    <col min="11569" max="11569" width="5.33203125" style="181" bestFit="1" customWidth="1"/>
    <col min="11570" max="11570" width="6.33203125" style="181" bestFit="1" customWidth="1"/>
    <col min="11571" max="11571" width="8.83203125" style="181" customWidth="1"/>
    <col min="11572" max="11582" width="5.83203125" style="181" bestFit="1" customWidth="1"/>
    <col min="11583" max="11780" width="8.83203125" style="181"/>
    <col min="11781" max="11781" width="8.33203125" style="181" customWidth="1"/>
    <col min="11782" max="11782" width="7" style="181" customWidth="1"/>
    <col min="11783" max="11783" width="5.33203125" style="181" bestFit="1" customWidth="1"/>
    <col min="11784" max="11784" width="6.83203125" style="181" bestFit="1" customWidth="1"/>
    <col min="11785" max="11785" width="7.83203125" style="181" bestFit="1" customWidth="1"/>
    <col min="11786" max="11787" width="6.83203125" style="181" customWidth="1"/>
    <col min="11788" max="11788" width="8.5" style="181" customWidth="1"/>
    <col min="11789" max="11789" width="9" style="181" customWidth="1"/>
    <col min="11790" max="11790" width="5.83203125" style="181" bestFit="1" customWidth="1"/>
    <col min="11791" max="11791" width="6.33203125" style="181" bestFit="1" customWidth="1"/>
    <col min="11792" max="11792" width="5.6640625" style="181" bestFit="1" customWidth="1"/>
    <col min="11793" max="11793" width="4.83203125" style="181" bestFit="1" customWidth="1"/>
    <col min="11794" max="11794" width="5.6640625" style="181" bestFit="1" customWidth="1"/>
    <col min="11795" max="11795" width="4.83203125" style="181" bestFit="1" customWidth="1"/>
    <col min="11796" max="11796" width="4.33203125" style="181" bestFit="1" customWidth="1"/>
    <col min="11797" max="11797" width="5.33203125" style="181" bestFit="1" customWidth="1"/>
    <col min="11798" max="11798" width="5.5" style="181" customWidth="1"/>
    <col min="11799" max="11799" width="5.33203125" style="181" bestFit="1" customWidth="1"/>
    <col min="11800" max="11800" width="6" style="181" customWidth="1"/>
    <col min="11801" max="11801" width="5" style="181" customWidth="1"/>
    <col min="11802" max="11802" width="5.83203125" style="181" customWidth="1"/>
    <col min="11803" max="11803" width="7.33203125" style="181" bestFit="1" customWidth="1"/>
    <col min="11804" max="11805" width="6.33203125" style="181" bestFit="1" customWidth="1"/>
    <col min="11806" max="11815" width="6.33203125" style="181" customWidth="1"/>
    <col min="11816" max="11816" width="7.1640625" style="181" bestFit="1" customWidth="1"/>
    <col min="11817" max="11817" width="4.5" style="181" bestFit="1" customWidth="1"/>
    <col min="11818" max="11818" width="6.6640625" style="181" customWidth="1"/>
    <col min="11819" max="11819" width="5.83203125" style="181" bestFit="1" customWidth="1"/>
    <col min="11820" max="11820" width="5.6640625" style="181" bestFit="1" customWidth="1"/>
    <col min="11821" max="11821" width="4.83203125" style="181" bestFit="1" customWidth="1"/>
    <col min="11822" max="11822" width="5.6640625" style="181" bestFit="1" customWidth="1"/>
    <col min="11823" max="11823" width="4.83203125" style="181" bestFit="1" customWidth="1"/>
    <col min="11824" max="11824" width="5.6640625" style="181" bestFit="1" customWidth="1"/>
    <col min="11825" max="11825" width="5.33203125" style="181" bestFit="1" customWidth="1"/>
    <col min="11826" max="11826" width="6.33203125" style="181" bestFit="1" customWidth="1"/>
    <col min="11827" max="11827" width="8.83203125" style="181" customWidth="1"/>
    <col min="11828" max="11838" width="5.83203125" style="181" bestFit="1" customWidth="1"/>
    <col min="11839" max="12036" width="8.83203125" style="181"/>
    <col min="12037" max="12037" width="8.33203125" style="181" customWidth="1"/>
    <col min="12038" max="12038" width="7" style="181" customWidth="1"/>
    <col min="12039" max="12039" width="5.33203125" style="181" bestFit="1" customWidth="1"/>
    <col min="12040" max="12040" width="6.83203125" style="181" bestFit="1" customWidth="1"/>
    <col min="12041" max="12041" width="7.83203125" style="181" bestFit="1" customWidth="1"/>
    <col min="12042" max="12043" width="6.83203125" style="181" customWidth="1"/>
    <col min="12044" max="12044" width="8.5" style="181" customWidth="1"/>
    <col min="12045" max="12045" width="9" style="181" customWidth="1"/>
    <col min="12046" max="12046" width="5.83203125" style="181" bestFit="1" customWidth="1"/>
    <col min="12047" max="12047" width="6.33203125" style="181" bestFit="1" customWidth="1"/>
    <col min="12048" max="12048" width="5.6640625" style="181" bestFit="1" customWidth="1"/>
    <col min="12049" max="12049" width="4.83203125" style="181" bestFit="1" customWidth="1"/>
    <col min="12050" max="12050" width="5.6640625" style="181" bestFit="1" customWidth="1"/>
    <col min="12051" max="12051" width="4.83203125" style="181" bestFit="1" customWidth="1"/>
    <col min="12052" max="12052" width="4.33203125" style="181" bestFit="1" customWidth="1"/>
    <col min="12053" max="12053" width="5.33203125" style="181" bestFit="1" customWidth="1"/>
    <col min="12054" max="12054" width="5.5" style="181" customWidth="1"/>
    <col min="12055" max="12055" width="5.33203125" style="181" bestFit="1" customWidth="1"/>
    <col min="12056" max="12056" width="6" style="181" customWidth="1"/>
    <col min="12057" max="12057" width="5" style="181" customWidth="1"/>
    <col min="12058" max="12058" width="5.83203125" style="181" customWidth="1"/>
    <col min="12059" max="12059" width="7.33203125" style="181" bestFit="1" customWidth="1"/>
    <col min="12060" max="12061" width="6.33203125" style="181" bestFit="1" customWidth="1"/>
    <col min="12062" max="12071" width="6.33203125" style="181" customWidth="1"/>
    <col min="12072" max="12072" width="7.1640625" style="181" bestFit="1" customWidth="1"/>
    <col min="12073" max="12073" width="4.5" style="181" bestFit="1" customWidth="1"/>
    <col min="12074" max="12074" width="6.6640625" style="181" customWidth="1"/>
    <col min="12075" max="12075" width="5.83203125" style="181" bestFit="1" customWidth="1"/>
    <col min="12076" max="12076" width="5.6640625" style="181" bestFit="1" customWidth="1"/>
    <col min="12077" max="12077" width="4.83203125" style="181" bestFit="1" customWidth="1"/>
    <col min="12078" max="12078" width="5.6640625" style="181" bestFit="1" customWidth="1"/>
    <col min="12079" max="12079" width="4.83203125" style="181" bestFit="1" customWidth="1"/>
    <col min="12080" max="12080" width="5.6640625" style="181" bestFit="1" customWidth="1"/>
    <col min="12081" max="12081" width="5.33203125" style="181" bestFit="1" customWidth="1"/>
    <col min="12082" max="12082" width="6.33203125" style="181" bestFit="1" customWidth="1"/>
    <col min="12083" max="12083" width="8.83203125" style="181" customWidth="1"/>
    <col min="12084" max="12094" width="5.83203125" style="181" bestFit="1" customWidth="1"/>
    <col min="12095" max="12292" width="8.83203125" style="181"/>
    <col min="12293" max="12293" width="8.33203125" style="181" customWidth="1"/>
    <col min="12294" max="12294" width="7" style="181" customWidth="1"/>
    <col min="12295" max="12295" width="5.33203125" style="181" bestFit="1" customWidth="1"/>
    <col min="12296" max="12296" width="6.83203125" style="181" bestFit="1" customWidth="1"/>
    <col min="12297" max="12297" width="7.83203125" style="181" bestFit="1" customWidth="1"/>
    <col min="12298" max="12299" width="6.83203125" style="181" customWidth="1"/>
    <col min="12300" max="12300" width="8.5" style="181" customWidth="1"/>
    <col min="12301" max="12301" width="9" style="181" customWidth="1"/>
    <col min="12302" max="12302" width="5.83203125" style="181" bestFit="1" customWidth="1"/>
    <col min="12303" max="12303" width="6.33203125" style="181" bestFit="1" customWidth="1"/>
    <col min="12304" max="12304" width="5.6640625" style="181" bestFit="1" customWidth="1"/>
    <col min="12305" max="12305" width="4.83203125" style="181" bestFit="1" customWidth="1"/>
    <col min="12306" max="12306" width="5.6640625" style="181" bestFit="1" customWidth="1"/>
    <col min="12307" max="12307" width="4.83203125" style="181" bestFit="1" customWidth="1"/>
    <col min="12308" max="12308" width="4.33203125" style="181" bestFit="1" customWidth="1"/>
    <col min="12309" max="12309" width="5.33203125" style="181" bestFit="1" customWidth="1"/>
    <col min="12310" max="12310" width="5.5" style="181" customWidth="1"/>
    <col min="12311" max="12311" width="5.33203125" style="181" bestFit="1" customWidth="1"/>
    <col min="12312" max="12312" width="6" style="181" customWidth="1"/>
    <col min="12313" max="12313" width="5" style="181" customWidth="1"/>
    <col min="12314" max="12314" width="5.83203125" style="181" customWidth="1"/>
    <col min="12315" max="12315" width="7.33203125" style="181" bestFit="1" customWidth="1"/>
    <col min="12316" max="12317" width="6.33203125" style="181" bestFit="1" customWidth="1"/>
    <col min="12318" max="12327" width="6.33203125" style="181" customWidth="1"/>
    <col min="12328" max="12328" width="7.1640625" style="181" bestFit="1" customWidth="1"/>
    <col min="12329" max="12329" width="4.5" style="181" bestFit="1" customWidth="1"/>
    <col min="12330" max="12330" width="6.6640625" style="181" customWidth="1"/>
    <col min="12331" max="12331" width="5.83203125" style="181" bestFit="1" customWidth="1"/>
    <col min="12332" max="12332" width="5.6640625" style="181" bestFit="1" customWidth="1"/>
    <col min="12333" max="12333" width="4.83203125" style="181" bestFit="1" customWidth="1"/>
    <col min="12334" max="12334" width="5.6640625" style="181" bestFit="1" customWidth="1"/>
    <col min="12335" max="12335" width="4.83203125" style="181" bestFit="1" customWidth="1"/>
    <col min="12336" max="12336" width="5.6640625" style="181" bestFit="1" customWidth="1"/>
    <col min="12337" max="12337" width="5.33203125" style="181" bestFit="1" customWidth="1"/>
    <col min="12338" max="12338" width="6.33203125" style="181" bestFit="1" customWidth="1"/>
    <col min="12339" max="12339" width="8.83203125" style="181" customWidth="1"/>
    <col min="12340" max="12350" width="5.83203125" style="181" bestFit="1" customWidth="1"/>
    <col min="12351" max="12548" width="8.83203125" style="181"/>
    <col min="12549" max="12549" width="8.33203125" style="181" customWidth="1"/>
    <col min="12550" max="12550" width="7" style="181" customWidth="1"/>
    <col min="12551" max="12551" width="5.33203125" style="181" bestFit="1" customWidth="1"/>
    <col min="12552" max="12552" width="6.83203125" style="181" bestFit="1" customWidth="1"/>
    <col min="12553" max="12553" width="7.83203125" style="181" bestFit="1" customWidth="1"/>
    <col min="12554" max="12555" width="6.83203125" style="181" customWidth="1"/>
    <col min="12556" max="12556" width="8.5" style="181" customWidth="1"/>
    <col min="12557" max="12557" width="9" style="181" customWidth="1"/>
    <col min="12558" max="12558" width="5.83203125" style="181" bestFit="1" customWidth="1"/>
    <col min="12559" max="12559" width="6.33203125" style="181" bestFit="1" customWidth="1"/>
    <col min="12560" max="12560" width="5.6640625" style="181" bestFit="1" customWidth="1"/>
    <col min="12561" max="12561" width="4.83203125" style="181" bestFit="1" customWidth="1"/>
    <col min="12562" max="12562" width="5.6640625" style="181" bestFit="1" customWidth="1"/>
    <col min="12563" max="12563" width="4.83203125" style="181" bestFit="1" customWidth="1"/>
    <col min="12564" max="12564" width="4.33203125" style="181" bestFit="1" customWidth="1"/>
    <col min="12565" max="12565" width="5.33203125" style="181" bestFit="1" customWidth="1"/>
    <col min="12566" max="12566" width="5.5" style="181" customWidth="1"/>
    <col min="12567" max="12567" width="5.33203125" style="181" bestFit="1" customWidth="1"/>
    <col min="12568" max="12568" width="6" style="181" customWidth="1"/>
    <col min="12569" max="12569" width="5" style="181" customWidth="1"/>
    <col min="12570" max="12570" width="5.83203125" style="181" customWidth="1"/>
    <col min="12571" max="12571" width="7.33203125" style="181" bestFit="1" customWidth="1"/>
    <col min="12572" max="12573" width="6.33203125" style="181" bestFit="1" customWidth="1"/>
    <col min="12574" max="12583" width="6.33203125" style="181" customWidth="1"/>
    <col min="12584" max="12584" width="7.1640625" style="181" bestFit="1" customWidth="1"/>
    <col min="12585" max="12585" width="4.5" style="181" bestFit="1" customWidth="1"/>
    <col min="12586" max="12586" width="6.6640625" style="181" customWidth="1"/>
    <col min="12587" max="12587" width="5.83203125" style="181" bestFit="1" customWidth="1"/>
    <col min="12588" max="12588" width="5.6640625" style="181" bestFit="1" customWidth="1"/>
    <col min="12589" max="12589" width="4.83203125" style="181" bestFit="1" customWidth="1"/>
    <col min="12590" max="12590" width="5.6640625" style="181" bestFit="1" customWidth="1"/>
    <col min="12591" max="12591" width="4.83203125" style="181" bestFit="1" customWidth="1"/>
    <col min="12592" max="12592" width="5.6640625" style="181" bestFit="1" customWidth="1"/>
    <col min="12593" max="12593" width="5.33203125" style="181" bestFit="1" customWidth="1"/>
    <col min="12594" max="12594" width="6.33203125" style="181" bestFit="1" customWidth="1"/>
    <col min="12595" max="12595" width="8.83203125" style="181" customWidth="1"/>
    <col min="12596" max="12606" width="5.83203125" style="181" bestFit="1" customWidth="1"/>
    <col min="12607" max="12804" width="8.83203125" style="181"/>
    <col min="12805" max="12805" width="8.33203125" style="181" customWidth="1"/>
    <col min="12806" max="12806" width="7" style="181" customWidth="1"/>
    <col min="12807" max="12807" width="5.33203125" style="181" bestFit="1" customWidth="1"/>
    <col min="12808" max="12808" width="6.83203125" style="181" bestFit="1" customWidth="1"/>
    <col min="12809" max="12809" width="7.83203125" style="181" bestFit="1" customWidth="1"/>
    <col min="12810" max="12811" width="6.83203125" style="181" customWidth="1"/>
    <col min="12812" max="12812" width="8.5" style="181" customWidth="1"/>
    <col min="12813" max="12813" width="9" style="181" customWidth="1"/>
    <col min="12814" max="12814" width="5.83203125" style="181" bestFit="1" customWidth="1"/>
    <col min="12815" max="12815" width="6.33203125" style="181" bestFit="1" customWidth="1"/>
    <col min="12816" max="12816" width="5.6640625" style="181" bestFit="1" customWidth="1"/>
    <col min="12817" max="12817" width="4.83203125" style="181" bestFit="1" customWidth="1"/>
    <col min="12818" max="12818" width="5.6640625" style="181" bestFit="1" customWidth="1"/>
    <col min="12819" max="12819" width="4.83203125" style="181" bestFit="1" customWidth="1"/>
    <col min="12820" max="12820" width="4.33203125" style="181" bestFit="1" customWidth="1"/>
    <col min="12821" max="12821" width="5.33203125" style="181" bestFit="1" customWidth="1"/>
    <col min="12822" max="12822" width="5.5" style="181" customWidth="1"/>
    <col min="12823" max="12823" width="5.33203125" style="181" bestFit="1" customWidth="1"/>
    <col min="12824" max="12824" width="6" style="181" customWidth="1"/>
    <col min="12825" max="12825" width="5" style="181" customWidth="1"/>
    <col min="12826" max="12826" width="5.83203125" style="181" customWidth="1"/>
    <col min="12827" max="12827" width="7.33203125" style="181" bestFit="1" customWidth="1"/>
    <col min="12828" max="12829" width="6.33203125" style="181" bestFit="1" customWidth="1"/>
    <col min="12830" max="12839" width="6.33203125" style="181" customWidth="1"/>
    <col min="12840" max="12840" width="7.1640625" style="181" bestFit="1" customWidth="1"/>
    <col min="12841" max="12841" width="4.5" style="181" bestFit="1" customWidth="1"/>
    <col min="12842" max="12842" width="6.6640625" style="181" customWidth="1"/>
    <col min="12843" max="12843" width="5.83203125" style="181" bestFit="1" customWidth="1"/>
    <col min="12844" max="12844" width="5.6640625" style="181" bestFit="1" customWidth="1"/>
    <col min="12845" max="12845" width="4.83203125" style="181" bestFit="1" customWidth="1"/>
    <col min="12846" max="12846" width="5.6640625" style="181" bestFit="1" customWidth="1"/>
    <col min="12847" max="12847" width="4.83203125" style="181" bestFit="1" customWidth="1"/>
    <col min="12848" max="12848" width="5.6640625" style="181" bestFit="1" customWidth="1"/>
    <col min="12849" max="12849" width="5.33203125" style="181" bestFit="1" customWidth="1"/>
    <col min="12850" max="12850" width="6.33203125" style="181" bestFit="1" customWidth="1"/>
    <col min="12851" max="12851" width="8.83203125" style="181" customWidth="1"/>
    <col min="12852" max="12862" width="5.83203125" style="181" bestFit="1" customWidth="1"/>
    <col min="12863" max="13060" width="8.83203125" style="181"/>
    <col min="13061" max="13061" width="8.33203125" style="181" customWidth="1"/>
    <col min="13062" max="13062" width="7" style="181" customWidth="1"/>
    <col min="13063" max="13063" width="5.33203125" style="181" bestFit="1" customWidth="1"/>
    <col min="13064" max="13064" width="6.83203125" style="181" bestFit="1" customWidth="1"/>
    <col min="13065" max="13065" width="7.83203125" style="181" bestFit="1" customWidth="1"/>
    <col min="13066" max="13067" width="6.83203125" style="181" customWidth="1"/>
    <col min="13068" max="13068" width="8.5" style="181" customWidth="1"/>
    <col min="13069" max="13069" width="9" style="181" customWidth="1"/>
    <col min="13070" max="13070" width="5.83203125" style="181" bestFit="1" customWidth="1"/>
    <col min="13071" max="13071" width="6.33203125" style="181" bestFit="1" customWidth="1"/>
    <col min="13072" max="13072" width="5.6640625" style="181" bestFit="1" customWidth="1"/>
    <col min="13073" max="13073" width="4.83203125" style="181" bestFit="1" customWidth="1"/>
    <col min="13074" max="13074" width="5.6640625" style="181" bestFit="1" customWidth="1"/>
    <col min="13075" max="13075" width="4.83203125" style="181" bestFit="1" customWidth="1"/>
    <col min="13076" max="13076" width="4.33203125" style="181" bestFit="1" customWidth="1"/>
    <col min="13077" max="13077" width="5.33203125" style="181" bestFit="1" customWidth="1"/>
    <col min="13078" max="13078" width="5.5" style="181" customWidth="1"/>
    <col min="13079" max="13079" width="5.33203125" style="181" bestFit="1" customWidth="1"/>
    <col min="13080" max="13080" width="6" style="181" customWidth="1"/>
    <col min="13081" max="13081" width="5" style="181" customWidth="1"/>
    <col min="13082" max="13082" width="5.83203125" style="181" customWidth="1"/>
    <col min="13083" max="13083" width="7.33203125" style="181" bestFit="1" customWidth="1"/>
    <col min="13084" max="13085" width="6.33203125" style="181" bestFit="1" customWidth="1"/>
    <col min="13086" max="13095" width="6.33203125" style="181" customWidth="1"/>
    <col min="13096" max="13096" width="7.1640625" style="181" bestFit="1" customWidth="1"/>
    <col min="13097" max="13097" width="4.5" style="181" bestFit="1" customWidth="1"/>
    <col min="13098" max="13098" width="6.6640625" style="181" customWidth="1"/>
    <col min="13099" max="13099" width="5.83203125" style="181" bestFit="1" customWidth="1"/>
    <col min="13100" max="13100" width="5.6640625" style="181" bestFit="1" customWidth="1"/>
    <col min="13101" max="13101" width="4.83203125" style="181" bestFit="1" customWidth="1"/>
    <col min="13102" max="13102" width="5.6640625" style="181" bestFit="1" customWidth="1"/>
    <col min="13103" max="13103" width="4.83203125" style="181" bestFit="1" customWidth="1"/>
    <col min="13104" max="13104" width="5.6640625" style="181" bestFit="1" customWidth="1"/>
    <col min="13105" max="13105" width="5.33203125" style="181" bestFit="1" customWidth="1"/>
    <col min="13106" max="13106" width="6.33203125" style="181" bestFit="1" customWidth="1"/>
    <col min="13107" max="13107" width="8.83203125" style="181" customWidth="1"/>
    <col min="13108" max="13118" width="5.83203125" style="181" bestFit="1" customWidth="1"/>
    <col min="13119" max="13316" width="8.83203125" style="181"/>
    <col min="13317" max="13317" width="8.33203125" style="181" customWidth="1"/>
    <col min="13318" max="13318" width="7" style="181" customWidth="1"/>
    <col min="13319" max="13319" width="5.33203125" style="181" bestFit="1" customWidth="1"/>
    <col min="13320" max="13320" width="6.83203125" style="181" bestFit="1" customWidth="1"/>
    <col min="13321" max="13321" width="7.83203125" style="181" bestFit="1" customWidth="1"/>
    <col min="13322" max="13323" width="6.83203125" style="181" customWidth="1"/>
    <col min="13324" max="13324" width="8.5" style="181" customWidth="1"/>
    <col min="13325" max="13325" width="9" style="181" customWidth="1"/>
    <col min="13326" max="13326" width="5.83203125" style="181" bestFit="1" customWidth="1"/>
    <col min="13327" max="13327" width="6.33203125" style="181" bestFit="1" customWidth="1"/>
    <col min="13328" max="13328" width="5.6640625" style="181" bestFit="1" customWidth="1"/>
    <col min="13329" max="13329" width="4.83203125" style="181" bestFit="1" customWidth="1"/>
    <col min="13330" max="13330" width="5.6640625" style="181" bestFit="1" customWidth="1"/>
    <col min="13331" max="13331" width="4.83203125" style="181" bestFit="1" customWidth="1"/>
    <col min="13332" max="13332" width="4.33203125" style="181" bestFit="1" customWidth="1"/>
    <col min="13333" max="13333" width="5.33203125" style="181" bestFit="1" customWidth="1"/>
    <col min="13334" max="13334" width="5.5" style="181" customWidth="1"/>
    <col min="13335" max="13335" width="5.33203125" style="181" bestFit="1" customWidth="1"/>
    <col min="13336" max="13336" width="6" style="181" customWidth="1"/>
    <col min="13337" max="13337" width="5" style="181" customWidth="1"/>
    <col min="13338" max="13338" width="5.83203125" style="181" customWidth="1"/>
    <col min="13339" max="13339" width="7.33203125" style="181" bestFit="1" customWidth="1"/>
    <col min="13340" max="13341" width="6.33203125" style="181" bestFit="1" customWidth="1"/>
    <col min="13342" max="13351" width="6.33203125" style="181" customWidth="1"/>
    <col min="13352" max="13352" width="7.1640625" style="181" bestFit="1" customWidth="1"/>
    <col min="13353" max="13353" width="4.5" style="181" bestFit="1" customWidth="1"/>
    <col min="13354" max="13354" width="6.6640625" style="181" customWidth="1"/>
    <col min="13355" max="13355" width="5.83203125" style="181" bestFit="1" customWidth="1"/>
    <col min="13356" max="13356" width="5.6640625" style="181" bestFit="1" customWidth="1"/>
    <col min="13357" max="13357" width="4.83203125" style="181" bestFit="1" customWidth="1"/>
    <col min="13358" max="13358" width="5.6640625" style="181" bestFit="1" customWidth="1"/>
    <col min="13359" max="13359" width="4.83203125" style="181" bestFit="1" customWidth="1"/>
    <col min="13360" max="13360" width="5.6640625" style="181" bestFit="1" customWidth="1"/>
    <col min="13361" max="13361" width="5.33203125" style="181" bestFit="1" customWidth="1"/>
    <col min="13362" max="13362" width="6.33203125" style="181" bestFit="1" customWidth="1"/>
    <col min="13363" max="13363" width="8.83203125" style="181" customWidth="1"/>
    <col min="13364" max="13374" width="5.83203125" style="181" bestFit="1" customWidth="1"/>
    <col min="13375" max="13572" width="8.83203125" style="181"/>
    <col min="13573" max="13573" width="8.33203125" style="181" customWidth="1"/>
    <col min="13574" max="13574" width="7" style="181" customWidth="1"/>
    <col min="13575" max="13575" width="5.33203125" style="181" bestFit="1" customWidth="1"/>
    <col min="13576" max="13576" width="6.83203125" style="181" bestFit="1" customWidth="1"/>
    <col min="13577" max="13577" width="7.83203125" style="181" bestFit="1" customWidth="1"/>
    <col min="13578" max="13579" width="6.83203125" style="181" customWidth="1"/>
    <col min="13580" max="13580" width="8.5" style="181" customWidth="1"/>
    <col min="13581" max="13581" width="9" style="181" customWidth="1"/>
    <col min="13582" max="13582" width="5.83203125" style="181" bestFit="1" customWidth="1"/>
    <col min="13583" max="13583" width="6.33203125" style="181" bestFit="1" customWidth="1"/>
    <col min="13584" max="13584" width="5.6640625" style="181" bestFit="1" customWidth="1"/>
    <col min="13585" max="13585" width="4.83203125" style="181" bestFit="1" customWidth="1"/>
    <col min="13586" max="13586" width="5.6640625" style="181" bestFit="1" customWidth="1"/>
    <col min="13587" max="13587" width="4.83203125" style="181" bestFit="1" customWidth="1"/>
    <col min="13588" max="13588" width="4.33203125" style="181" bestFit="1" customWidth="1"/>
    <col min="13589" max="13589" width="5.33203125" style="181" bestFit="1" customWidth="1"/>
    <col min="13590" max="13590" width="5.5" style="181" customWidth="1"/>
    <col min="13591" max="13591" width="5.33203125" style="181" bestFit="1" customWidth="1"/>
    <col min="13592" max="13592" width="6" style="181" customWidth="1"/>
    <col min="13593" max="13593" width="5" style="181" customWidth="1"/>
    <col min="13594" max="13594" width="5.83203125" style="181" customWidth="1"/>
    <col min="13595" max="13595" width="7.33203125" style="181" bestFit="1" customWidth="1"/>
    <col min="13596" max="13597" width="6.33203125" style="181" bestFit="1" customWidth="1"/>
    <col min="13598" max="13607" width="6.33203125" style="181" customWidth="1"/>
    <col min="13608" max="13608" width="7.1640625" style="181" bestFit="1" customWidth="1"/>
    <col min="13609" max="13609" width="4.5" style="181" bestFit="1" customWidth="1"/>
    <col min="13610" max="13610" width="6.6640625" style="181" customWidth="1"/>
    <col min="13611" max="13611" width="5.83203125" style="181" bestFit="1" customWidth="1"/>
    <col min="13612" max="13612" width="5.6640625" style="181" bestFit="1" customWidth="1"/>
    <col min="13613" max="13613" width="4.83203125" style="181" bestFit="1" customWidth="1"/>
    <col min="13614" max="13614" width="5.6640625" style="181" bestFit="1" customWidth="1"/>
    <col min="13615" max="13615" width="4.83203125" style="181" bestFit="1" customWidth="1"/>
    <col min="13616" max="13616" width="5.6640625" style="181" bestFit="1" customWidth="1"/>
    <col min="13617" max="13617" width="5.33203125" style="181" bestFit="1" customWidth="1"/>
    <col min="13618" max="13618" width="6.33203125" style="181" bestFit="1" customWidth="1"/>
    <col min="13619" max="13619" width="8.83203125" style="181" customWidth="1"/>
    <col min="13620" max="13630" width="5.83203125" style="181" bestFit="1" customWidth="1"/>
    <col min="13631" max="13828" width="8.83203125" style="181"/>
    <col min="13829" max="13829" width="8.33203125" style="181" customWidth="1"/>
    <col min="13830" max="13830" width="7" style="181" customWidth="1"/>
    <col min="13831" max="13831" width="5.33203125" style="181" bestFit="1" customWidth="1"/>
    <col min="13832" max="13832" width="6.83203125" style="181" bestFit="1" customWidth="1"/>
    <col min="13833" max="13833" width="7.83203125" style="181" bestFit="1" customWidth="1"/>
    <col min="13834" max="13835" width="6.83203125" style="181" customWidth="1"/>
    <col min="13836" max="13836" width="8.5" style="181" customWidth="1"/>
    <col min="13837" max="13837" width="9" style="181" customWidth="1"/>
    <col min="13838" max="13838" width="5.83203125" style="181" bestFit="1" customWidth="1"/>
    <col min="13839" max="13839" width="6.33203125" style="181" bestFit="1" customWidth="1"/>
    <col min="13840" max="13840" width="5.6640625" style="181" bestFit="1" customWidth="1"/>
    <col min="13841" max="13841" width="4.83203125" style="181" bestFit="1" customWidth="1"/>
    <col min="13842" max="13842" width="5.6640625" style="181" bestFit="1" customWidth="1"/>
    <col min="13843" max="13843" width="4.83203125" style="181" bestFit="1" customWidth="1"/>
    <col min="13844" max="13844" width="4.33203125" style="181" bestFit="1" customWidth="1"/>
    <col min="13845" max="13845" width="5.33203125" style="181" bestFit="1" customWidth="1"/>
    <col min="13846" max="13846" width="5.5" style="181" customWidth="1"/>
    <col min="13847" max="13847" width="5.33203125" style="181" bestFit="1" customWidth="1"/>
    <col min="13848" max="13848" width="6" style="181" customWidth="1"/>
    <col min="13849" max="13849" width="5" style="181" customWidth="1"/>
    <col min="13850" max="13850" width="5.83203125" style="181" customWidth="1"/>
    <col min="13851" max="13851" width="7.33203125" style="181" bestFit="1" customWidth="1"/>
    <col min="13852" max="13853" width="6.33203125" style="181" bestFit="1" customWidth="1"/>
    <col min="13854" max="13863" width="6.33203125" style="181" customWidth="1"/>
    <col min="13864" max="13864" width="7.1640625" style="181" bestFit="1" customWidth="1"/>
    <col min="13865" max="13865" width="4.5" style="181" bestFit="1" customWidth="1"/>
    <col min="13866" max="13866" width="6.6640625" style="181" customWidth="1"/>
    <col min="13867" max="13867" width="5.83203125" style="181" bestFit="1" customWidth="1"/>
    <col min="13868" max="13868" width="5.6640625" style="181" bestFit="1" customWidth="1"/>
    <col min="13869" max="13869" width="4.83203125" style="181" bestFit="1" customWidth="1"/>
    <col min="13870" max="13870" width="5.6640625" style="181" bestFit="1" customWidth="1"/>
    <col min="13871" max="13871" width="4.83203125" style="181" bestFit="1" customWidth="1"/>
    <col min="13872" max="13872" width="5.6640625" style="181" bestFit="1" customWidth="1"/>
    <col min="13873" max="13873" width="5.33203125" style="181" bestFit="1" customWidth="1"/>
    <col min="13874" max="13874" width="6.33203125" style="181" bestFit="1" customWidth="1"/>
    <col min="13875" max="13875" width="8.83203125" style="181" customWidth="1"/>
    <col min="13876" max="13886" width="5.83203125" style="181" bestFit="1" customWidth="1"/>
    <col min="13887" max="14084" width="8.83203125" style="181"/>
    <col min="14085" max="14085" width="8.33203125" style="181" customWidth="1"/>
    <col min="14086" max="14086" width="7" style="181" customWidth="1"/>
    <col min="14087" max="14087" width="5.33203125" style="181" bestFit="1" customWidth="1"/>
    <col min="14088" max="14088" width="6.83203125" style="181" bestFit="1" customWidth="1"/>
    <col min="14089" max="14089" width="7.83203125" style="181" bestFit="1" customWidth="1"/>
    <col min="14090" max="14091" width="6.83203125" style="181" customWidth="1"/>
    <col min="14092" max="14092" width="8.5" style="181" customWidth="1"/>
    <col min="14093" max="14093" width="9" style="181" customWidth="1"/>
    <col min="14094" max="14094" width="5.83203125" style="181" bestFit="1" customWidth="1"/>
    <col min="14095" max="14095" width="6.33203125" style="181" bestFit="1" customWidth="1"/>
    <col min="14096" max="14096" width="5.6640625" style="181" bestFit="1" customWidth="1"/>
    <col min="14097" max="14097" width="4.83203125" style="181" bestFit="1" customWidth="1"/>
    <col min="14098" max="14098" width="5.6640625" style="181" bestFit="1" customWidth="1"/>
    <col min="14099" max="14099" width="4.83203125" style="181" bestFit="1" customWidth="1"/>
    <col min="14100" max="14100" width="4.33203125" style="181" bestFit="1" customWidth="1"/>
    <col min="14101" max="14101" width="5.33203125" style="181" bestFit="1" customWidth="1"/>
    <col min="14102" max="14102" width="5.5" style="181" customWidth="1"/>
    <col min="14103" max="14103" width="5.33203125" style="181" bestFit="1" customWidth="1"/>
    <col min="14104" max="14104" width="6" style="181" customWidth="1"/>
    <col min="14105" max="14105" width="5" style="181" customWidth="1"/>
    <col min="14106" max="14106" width="5.83203125" style="181" customWidth="1"/>
    <col min="14107" max="14107" width="7.33203125" style="181" bestFit="1" customWidth="1"/>
    <col min="14108" max="14109" width="6.33203125" style="181" bestFit="1" customWidth="1"/>
    <col min="14110" max="14119" width="6.33203125" style="181" customWidth="1"/>
    <col min="14120" max="14120" width="7.1640625" style="181" bestFit="1" customWidth="1"/>
    <col min="14121" max="14121" width="4.5" style="181" bestFit="1" customWidth="1"/>
    <col min="14122" max="14122" width="6.6640625" style="181" customWidth="1"/>
    <col min="14123" max="14123" width="5.83203125" style="181" bestFit="1" customWidth="1"/>
    <col min="14124" max="14124" width="5.6640625" style="181" bestFit="1" customWidth="1"/>
    <col min="14125" max="14125" width="4.83203125" style="181" bestFit="1" customWidth="1"/>
    <col min="14126" max="14126" width="5.6640625" style="181" bestFit="1" customWidth="1"/>
    <col min="14127" max="14127" width="4.83203125" style="181" bestFit="1" customWidth="1"/>
    <col min="14128" max="14128" width="5.6640625" style="181" bestFit="1" customWidth="1"/>
    <col min="14129" max="14129" width="5.33203125" style="181" bestFit="1" customWidth="1"/>
    <col min="14130" max="14130" width="6.33203125" style="181" bestFit="1" customWidth="1"/>
    <col min="14131" max="14131" width="8.83203125" style="181" customWidth="1"/>
    <col min="14132" max="14142" width="5.83203125" style="181" bestFit="1" customWidth="1"/>
    <col min="14143" max="14340" width="8.83203125" style="181"/>
    <col min="14341" max="14341" width="8.33203125" style="181" customWidth="1"/>
    <col min="14342" max="14342" width="7" style="181" customWidth="1"/>
    <col min="14343" max="14343" width="5.33203125" style="181" bestFit="1" customWidth="1"/>
    <col min="14344" max="14344" width="6.83203125" style="181" bestFit="1" customWidth="1"/>
    <col min="14345" max="14345" width="7.83203125" style="181" bestFit="1" customWidth="1"/>
    <col min="14346" max="14347" width="6.83203125" style="181" customWidth="1"/>
    <col min="14348" max="14348" width="8.5" style="181" customWidth="1"/>
    <col min="14349" max="14349" width="9" style="181" customWidth="1"/>
    <col min="14350" max="14350" width="5.83203125" style="181" bestFit="1" customWidth="1"/>
    <col min="14351" max="14351" width="6.33203125" style="181" bestFit="1" customWidth="1"/>
    <col min="14352" max="14352" width="5.6640625" style="181" bestFit="1" customWidth="1"/>
    <col min="14353" max="14353" width="4.83203125" style="181" bestFit="1" customWidth="1"/>
    <col min="14354" max="14354" width="5.6640625" style="181" bestFit="1" customWidth="1"/>
    <col min="14355" max="14355" width="4.83203125" style="181" bestFit="1" customWidth="1"/>
    <col min="14356" max="14356" width="4.33203125" style="181" bestFit="1" customWidth="1"/>
    <col min="14357" max="14357" width="5.33203125" style="181" bestFit="1" customWidth="1"/>
    <col min="14358" max="14358" width="5.5" style="181" customWidth="1"/>
    <col min="14359" max="14359" width="5.33203125" style="181" bestFit="1" customWidth="1"/>
    <col min="14360" max="14360" width="6" style="181" customWidth="1"/>
    <col min="14361" max="14361" width="5" style="181" customWidth="1"/>
    <col min="14362" max="14362" width="5.83203125" style="181" customWidth="1"/>
    <col min="14363" max="14363" width="7.33203125" style="181" bestFit="1" customWidth="1"/>
    <col min="14364" max="14365" width="6.33203125" style="181" bestFit="1" customWidth="1"/>
    <col min="14366" max="14375" width="6.33203125" style="181" customWidth="1"/>
    <col min="14376" max="14376" width="7.1640625" style="181" bestFit="1" customWidth="1"/>
    <col min="14377" max="14377" width="4.5" style="181" bestFit="1" customWidth="1"/>
    <col min="14378" max="14378" width="6.6640625" style="181" customWidth="1"/>
    <col min="14379" max="14379" width="5.83203125" style="181" bestFit="1" customWidth="1"/>
    <col min="14380" max="14380" width="5.6640625" style="181" bestFit="1" customWidth="1"/>
    <col min="14381" max="14381" width="4.83203125" style="181" bestFit="1" customWidth="1"/>
    <col min="14382" max="14382" width="5.6640625" style="181" bestFit="1" customWidth="1"/>
    <col min="14383" max="14383" width="4.83203125" style="181" bestFit="1" customWidth="1"/>
    <col min="14384" max="14384" width="5.6640625" style="181" bestFit="1" customWidth="1"/>
    <col min="14385" max="14385" width="5.33203125" style="181" bestFit="1" customWidth="1"/>
    <col min="14386" max="14386" width="6.33203125" style="181" bestFit="1" customWidth="1"/>
    <col min="14387" max="14387" width="8.83203125" style="181" customWidth="1"/>
    <col min="14388" max="14398" width="5.83203125" style="181" bestFit="1" customWidth="1"/>
    <col min="14399" max="14596" width="8.83203125" style="181"/>
    <col min="14597" max="14597" width="8.33203125" style="181" customWidth="1"/>
    <col min="14598" max="14598" width="7" style="181" customWidth="1"/>
    <col min="14599" max="14599" width="5.33203125" style="181" bestFit="1" customWidth="1"/>
    <col min="14600" max="14600" width="6.83203125" style="181" bestFit="1" customWidth="1"/>
    <col min="14601" max="14601" width="7.83203125" style="181" bestFit="1" customWidth="1"/>
    <col min="14602" max="14603" width="6.83203125" style="181" customWidth="1"/>
    <col min="14604" max="14604" width="8.5" style="181" customWidth="1"/>
    <col min="14605" max="14605" width="9" style="181" customWidth="1"/>
    <col min="14606" max="14606" width="5.83203125" style="181" bestFit="1" customWidth="1"/>
    <col min="14607" max="14607" width="6.33203125" style="181" bestFit="1" customWidth="1"/>
    <col min="14608" max="14608" width="5.6640625" style="181" bestFit="1" customWidth="1"/>
    <col min="14609" max="14609" width="4.83203125" style="181" bestFit="1" customWidth="1"/>
    <col min="14610" max="14610" width="5.6640625" style="181" bestFit="1" customWidth="1"/>
    <col min="14611" max="14611" width="4.83203125" style="181" bestFit="1" customWidth="1"/>
    <col min="14612" max="14612" width="4.33203125" style="181" bestFit="1" customWidth="1"/>
    <col min="14613" max="14613" width="5.33203125" style="181" bestFit="1" customWidth="1"/>
    <col min="14614" max="14614" width="5.5" style="181" customWidth="1"/>
    <col min="14615" max="14615" width="5.33203125" style="181" bestFit="1" customWidth="1"/>
    <col min="14616" max="14616" width="6" style="181" customWidth="1"/>
    <col min="14617" max="14617" width="5" style="181" customWidth="1"/>
    <col min="14618" max="14618" width="5.83203125" style="181" customWidth="1"/>
    <col min="14619" max="14619" width="7.33203125" style="181" bestFit="1" customWidth="1"/>
    <col min="14620" max="14621" width="6.33203125" style="181" bestFit="1" customWidth="1"/>
    <col min="14622" max="14631" width="6.33203125" style="181" customWidth="1"/>
    <col min="14632" max="14632" width="7.1640625" style="181" bestFit="1" customWidth="1"/>
    <col min="14633" max="14633" width="4.5" style="181" bestFit="1" customWidth="1"/>
    <col min="14634" max="14634" width="6.6640625" style="181" customWidth="1"/>
    <col min="14635" max="14635" width="5.83203125" style="181" bestFit="1" customWidth="1"/>
    <col min="14636" max="14636" width="5.6640625" style="181" bestFit="1" customWidth="1"/>
    <col min="14637" max="14637" width="4.83203125" style="181" bestFit="1" customWidth="1"/>
    <col min="14638" max="14638" width="5.6640625" style="181" bestFit="1" customWidth="1"/>
    <col min="14639" max="14639" width="4.83203125" style="181" bestFit="1" customWidth="1"/>
    <col min="14640" max="14640" width="5.6640625" style="181" bestFit="1" customWidth="1"/>
    <col min="14641" max="14641" width="5.33203125" style="181" bestFit="1" customWidth="1"/>
    <col min="14642" max="14642" width="6.33203125" style="181" bestFit="1" customWidth="1"/>
    <col min="14643" max="14643" width="8.83203125" style="181" customWidth="1"/>
    <col min="14644" max="14654" width="5.83203125" style="181" bestFit="1" customWidth="1"/>
    <col min="14655" max="14852" width="8.83203125" style="181"/>
    <col min="14853" max="14853" width="8.33203125" style="181" customWidth="1"/>
    <col min="14854" max="14854" width="7" style="181" customWidth="1"/>
    <col min="14855" max="14855" width="5.33203125" style="181" bestFit="1" customWidth="1"/>
    <col min="14856" max="14856" width="6.83203125" style="181" bestFit="1" customWidth="1"/>
    <col min="14857" max="14857" width="7.83203125" style="181" bestFit="1" customWidth="1"/>
    <col min="14858" max="14859" width="6.83203125" style="181" customWidth="1"/>
    <col min="14860" max="14860" width="8.5" style="181" customWidth="1"/>
    <col min="14861" max="14861" width="9" style="181" customWidth="1"/>
    <col min="14862" max="14862" width="5.83203125" style="181" bestFit="1" customWidth="1"/>
    <col min="14863" max="14863" width="6.33203125" style="181" bestFit="1" customWidth="1"/>
    <col min="14864" max="14864" width="5.6640625" style="181" bestFit="1" customWidth="1"/>
    <col min="14865" max="14865" width="4.83203125" style="181" bestFit="1" customWidth="1"/>
    <col min="14866" max="14866" width="5.6640625" style="181" bestFit="1" customWidth="1"/>
    <col min="14867" max="14867" width="4.83203125" style="181" bestFit="1" customWidth="1"/>
    <col min="14868" max="14868" width="4.33203125" style="181" bestFit="1" customWidth="1"/>
    <col min="14869" max="14869" width="5.33203125" style="181" bestFit="1" customWidth="1"/>
    <col min="14870" max="14870" width="5.5" style="181" customWidth="1"/>
    <col min="14871" max="14871" width="5.33203125" style="181" bestFit="1" customWidth="1"/>
    <col min="14872" max="14872" width="6" style="181" customWidth="1"/>
    <col min="14873" max="14873" width="5" style="181" customWidth="1"/>
    <col min="14874" max="14874" width="5.83203125" style="181" customWidth="1"/>
    <col min="14875" max="14875" width="7.33203125" style="181" bestFit="1" customWidth="1"/>
    <col min="14876" max="14877" width="6.33203125" style="181" bestFit="1" customWidth="1"/>
    <col min="14878" max="14887" width="6.33203125" style="181" customWidth="1"/>
    <col min="14888" max="14888" width="7.1640625" style="181" bestFit="1" customWidth="1"/>
    <col min="14889" max="14889" width="4.5" style="181" bestFit="1" customWidth="1"/>
    <col min="14890" max="14890" width="6.6640625" style="181" customWidth="1"/>
    <col min="14891" max="14891" width="5.83203125" style="181" bestFit="1" customWidth="1"/>
    <col min="14892" max="14892" width="5.6640625" style="181" bestFit="1" customWidth="1"/>
    <col min="14893" max="14893" width="4.83203125" style="181" bestFit="1" customWidth="1"/>
    <col min="14894" max="14894" width="5.6640625" style="181" bestFit="1" customWidth="1"/>
    <col min="14895" max="14895" width="4.83203125" style="181" bestFit="1" customWidth="1"/>
    <col min="14896" max="14896" width="5.6640625" style="181" bestFit="1" customWidth="1"/>
    <col min="14897" max="14897" width="5.33203125" style="181" bestFit="1" customWidth="1"/>
    <col min="14898" max="14898" width="6.33203125" style="181" bestFit="1" customWidth="1"/>
    <col min="14899" max="14899" width="8.83203125" style="181" customWidth="1"/>
    <col min="14900" max="14910" width="5.83203125" style="181" bestFit="1" customWidth="1"/>
    <col min="14911" max="15108" width="8.83203125" style="181"/>
    <col min="15109" max="15109" width="8.33203125" style="181" customWidth="1"/>
    <col min="15110" max="15110" width="7" style="181" customWidth="1"/>
    <col min="15111" max="15111" width="5.33203125" style="181" bestFit="1" customWidth="1"/>
    <col min="15112" max="15112" width="6.83203125" style="181" bestFit="1" customWidth="1"/>
    <col min="15113" max="15113" width="7.83203125" style="181" bestFit="1" customWidth="1"/>
    <col min="15114" max="15115" width="6.83203125" style="181" customWidth="1"/>
    <col min="15116" max="15116" width="8.5" style="181" customWidth="1"/>
    <col min="15117" max="15117" width="9" style="181" customWidth="1"/>
    <col min="15118" max="15118" width="5.83203125" style="181" bestFit="1" customWidth="1"/>
    <col min="15119" max="15119" width="6.33203125" style="181" bestFit="1" customWidth="1"/>
    <col min="15120" max="15120" width="5.6640625" style="181" bestFit="1" customWidth="1"/>
    <col min="15121" max="15121" width="4.83203125" style="181" bestFit="1" customWidth="1"/>
    <col min="15122" max="15122" width="5.6640625" style="181" bestFit="1" customWidth="1"/>
    <col min="15123" max="15123" width="4.83203125" style="181" bestFit="1" customWidth="1"/>
    <col min="15124" max="15124" width="4.33203125" style="181" bestFit="1" customWidth="1"/>
    <col min="15125" max="15125" width="5.33203125" style="181" bestFit="1" customWidth="1"/>
    <col min="15126" max="15126" width="5.5" style="181" customWidth="1"/>
    <col min="15127" max="15127" width="5.33203125" style="181" bestFit="1" customWidth="1"/>
    <col min="15128" max="15128" width="6" style="181" customWidth="1"/>
    <col min="15129" max="15129" width="5" style="181" customWidth="1"/>
    <col min="15130" max="15130" width="5.83203125" style="181" customWidth="1"/>
    <col min="15131" max="15131" width="7.33203125" style="181" bestFit="1" customWidth="1"/>
    <col min="15132" max="15133" width="6.33203125" style="181" bestFit="1" customWidth="1"/>
    <col min="15134" max="15143" width="6.33203125" style="181" customWidth="1"/>
    <col min="15144" max="15144" width="7.1640625" style="181" bestFit="1" customWidth="1"/>
    <col min="15145" max="15145" width="4.5" style="181" bestFit="1" customWidth="1"/>
    <col min="15146" max="15146" width="6.6640625" style="181" customWidth="1"/>
    <col min="15147" max="15147" width="5.83203125" style="181" bestFit="1" customWidth="1"/>
    <col min="15148" max="15148" width="5.6640625" style="181" bestFit="1" customWidth="1"/>
    <col min="15149" max="15149" width="4.83203125" style="181" bestFit="1" customWidth="1"/>
    <col min="15150" max="15150" width="5.6640625" style="181" bestFit="1" customWidth="1"/>
    <col min="15151" max="15151" width="4.83203125" style="181" bestFit="1" customWidth="1"/>
    <col min="15152" max="15152" width="5.6640625" style="181" bestFit="1" customWidth="1"/>
    <col min="15153" max="15153" width="5.33203125" style="181" bestFit="1" customWidth="1"/>
    <col min="15154" max="15154" width="6.33203125" style="181" bestFit="1" customWidth="1"/>
    <col min="15155" max="15155" width="8.83203125" style="181" customWidth="1"/>
    <col min="15156" max="15166" width="5.83203125" style="181" bestFit="1" customWidth="1"/>
    <col min="15167" max="15364" width="8.83203125" style="181"/>
    <col min="15365" max="15365" width="8.33203125" style="181" customWidth="1"/>
    <col min="15366" max="15366" width="7" style="181" customWidth="1"/>
    <col min="15367" max="15367" width="5.33203125" style="181" bestFit="1" customWidth="1"/>
    <col min="15368" max="15368" width="6.83203125" style="181" bestFit="1" customWidth="1"/>
    <col min="15369" max="15369" width="7.83203125" style="181" bestFit="1" customWidth="1"/>
    <col min="15370" max="15371" width="6.83203125" style="181" customWidth="1"/>
    <col min="15372" max="15372" width="8.5" style="181" customWidth="1"/>
    <col min="15373" max="15373" width="9" style="181" customWidth="1"/>
    <col min="15374" max="15374" width="5.83203125" style="181" bestFit="1" customWidth="1"/>
    <col min="15375" max="15375" width="6.33203125" style="181" bestFit="1" customWidth="1"/>
    <col min="15376" max="15376" width="5.6640625" style="181" bestFit="1" customWidth="1"/>
    <col min="15377" max="15377" width="4.83203125" style="181" bestFit="1" customWidth="1"/>
    <col min="15378" max="15378" width="5.6640625" style="181" bestFit="1" customWidth="1"/>
    <col min="15379" max="15379" width="4.83203125" style="181" bestFit="1" customWidth="1"/>
    <col min="15380" max="15380" width="4.33203125" style="181" bestFit="1" customWidth="1"/>
    <col min="15381" max="15381" width="5.33203125" style="181" bestFit="1" customWidth="1"/>
    <col min="15382" max="15382" width="5.5" style="181" customWidth="1"/>
    <col min="15383" max="15383" width="5.33203125" style="181" bestFit="1" customWidth="1"/>
    <col min="15384" max="15384" width="6" style="181" customWidth="1"/>
    <col min="15385" max="15385" width="5" style="181" customWidth="1"/>
    <col min="15386" max="15386" width="5.83203125" style="181" customWidth="1"/>
    <col min="15387" max="15387" width="7.33203125" style="181" bestFit="1" customWidth="1"/>
    <col min="15388" max="15389" width="6.33203125" style="181" bestFit="1" customWidth="1"/>
    <col min="15390" max="15399" width="6.33203125" style="181" customWidth="1"/>
    <col min="15400" max="15400" width="7.1640625" style="181" bestFit="1" customWidth="1"/>
    <col min="15401" max="15401" width="4.5" style="181" bestFit="1" customWidth="1"/>
    <col min="15402" max="15402" width="6.6640625" style="181" customWidth="1"/>
    <col min="15403" max="15403" width="5.83203125" style="181" bestFit="1" customWidth="1"/>
    <col min="15404" max="15404" width="5.6640625" style="181" bestFit="1" customWidth="1"/>
    <col min="15405" max="15405" width="4.83203125" style="181" bestFit="1" customWidth="1"/>
    <col min="15406" max="15406" width="5.6640625" style="181" bestFit="1" customWidth="1"/>
    <col min="15407" max="15407" width="4.83203125" style="181" bestFit="1" customWidth="1"/>
    <col min="15408" max="15408" width="5.6640625" style="181" bestFit="1" customWidth="1"/>
    <col min="15409" max="15409" width="5.33203125" style="181" bestFit="1" customWidth="1"/>
    <col min="15410" max="15410" width="6.33203125" style="181" bestFit="1" customWidth="1"/>
    <col min="15411" max="15411" width="8.83203125" style="181" customWidth="1"/>
    <col min="15412" max="15422" width="5.83203125" style="181" bestFit="1" customWidth="1"/>
    <col min="15423" max="15620" width="8.83203125" style="181"/>
    <col min="15621" max="15621" width="8.33203125" style="181" customWidth="1"/>
    <col min="15622" max="15622" width="7" style="181" customWidth="1"/>
    <col min="15623" max="15623" width="5.33203125" style="181" bestFit="1" customWidth="1"/>
    <col min="15624" max="15624" width="6.83203125" style="181" bestFit="1" customWidth="1"/>
    <col min="15625" max="15625" width="7.83203125" style="181" bestFit="1" customWidth="1"/>
    <col min="15626" max="15627" width="6.83203125" style="181" customWidth="1"/>
    <col min="15628" max="15628" width="8.5" style="181" customWidth="1"/>
    <col min="15629" max="15629" width="9" style="181" customWidth="1"/>
    <col min="15630" max="15630" width="5.83203125" style="181" bestFit="1" customWidth="1"/>
    <col min="15631" max="15631" width="6.33203125" style="181" bestFit="1" customWidth="1"/>
    <col min="15632" max="15632" width="5.6640625" style="181" bestFit="1" customWidth="1"/>
    <col min="15633" max="15633" width="4.83203125" style="181" bestFit="1" customWidth="1"/>
    <col min="15634" max="15634" width="5.6640625" style="181" bestFit="1" customWidth="1"/>
    <col min="15635" max="15635" width="4.83203125" style="181" bestFit="1" customWidth="1"/>
    <col min="15636" max="15636" width="4.33203125" style="181" bestFit="1" customWidth="1"/>
    <col min="15637" max="15637" width="5.33203125" style="181" bestFit="1" customWidth="1"/>
    <col min="15638" max="15638" width="5.5" style="181" customWidth="1"/>
    <col min="15639" max="15639" width="5.33203125" style="181" bestFit="1" customWidth="1"/>
    <col min="15640" max="15640" width="6" style="181" customWidth="1"/>
    <col min="15641" max="15641" width="5" style="181" customWidth="1"/>
    <col min="15642" max="15642" width="5.83203125" style="181" customWidth="1"/>
    <col min="15643" max="15643" width="7.33203125" style="181" bestFit="1" customWidth="1"/>
    <col min="15644" max="15645" width="6.33203125" style="181" bestFit="1" customWidth="1"/>
    <col min="15646" max="15655" width="6.33203125" style="181" customWidth="1"/>
    <col min="15656" max="15656" width="7.1640625" style="181" bestFit="1" customWidth="1"/>
    <col min="15657" max="15657" width="4.5" style="181" bestFit="1" customWidth="1"/>
    <col min="15658" max="15658" width="6.6640625" style="181" customWidth="1"/>
    <col min="15659" max="15659" width="5.83203125" style="181" bestFit="1" customWidth="1"/>
    <col min="15660" max="15660" width="5.6640625" style="181" bestFit="1" customWidth="1"/>
    <col min="15661" max="15661" width="4.83203125" style="181" bestFit="1" customWidth="1"/>
    <col min="15662" max="15662" width="5.6640625" style="181" bestFit="1" customWidth="1"/>
    <col min="15663" max="15663" width="4.83203125" style="181" bestFit="1" customWidth="1"/>
    <col min="15664" max="15664" width="5.6640625" style="181" bestFit="1" customWidth="1"/>
    <col min="15665" max="15665" width="5.33203125" style="181" bestFit="1" customWidth="1"/>
    <col min="15666" max="15666" width="6.33203125" style="181" bestFit="1" customWidth="1"/>
    <col min="15667" max="15667" width="8.83203125" style="181" customWidth="1"/>
    <col min="15668" max="15678" width="5.83203125" style="181" bestFit="1" customWidth="1"/>
    <col min="15679" max="15876" width="8.83203125" style="181"/>
    <col min="15877" max="15877" width="8.33203125" style="181" customWidth="1"/>
    <col min="15878" max="15878" width="7" style="181" customWidth="1"/>
    <col min="15879" max="15879" width="5.33203125" style="181" bestFit="1" customWidth="1"/>
    <col min="15880" max="15880" width="6.83203125" style="181" bestFit="1" customWidth="1"/>
    <col min="15881" max="15881" width="7.83203125" style="181" bestFit="1" customWidth="1"/>
    <col min="15882" max="15883" width="6.83203125" style="181" customWidth="1"/>
    <col min="15884" max="15884" width="8.5" style="181" customWidth="1"/>
    <col min="15885" max="15885" width="9" style="181" customWidth="1"/>
    <col min="15886" max="15886" width="5.83203125" style="181" bestFit="1" customWidth="1"/>
    <col min="15887" max="15887" width="6.33203125" style="181" bestFit="1" customWidth="1"/>
    <col min="15888" max="15888" width="5.6640625" style="181" bestFit="1" customWidth="1"/>
    <col min="15889" max="15889" width="4.83203125" style="181" bestFit="1" customWidth="1"/>
    <col min="15890" max="15890" width="5.6640625" style="181" bestFit="1" customWidth="1"/>
    <col min="15891" max="15891" width="4.83203125" style="181" bestFit="1" customWidth="1"/>
    <col min="15892" max="15892" width="4.33203125" style="181" bestFit="1" customWidth="1"/>
    <col min="15893" max="15893" width="5.33203125" style="181" bestFit="1" customWidth="1"/>
    <col min="15894" max="15894" width="5.5" style="181" customWidth="1"/>
    <col min="15895" max="15895" width="5.33203125" style="181" bestFit="1" customWidth="1"/>
    <col min="15896" max="15896" width="6" style="181" customWidth="1"/>
    <col min="15897" max="15897" width="5" style="181" customWidth="1"/>
    <col min="15898" max="15898" width="5.83203125" style="181" customWidth="1"/>
    <col min="15899" max="15899" width="7.33203125" style="181" bestFit="1" customWidth="1"/>
    <col min="15900" max="15901" width="6.33203125" style="181" bestFit="1" customWidth="1"/>
    <col min="15902" max="15911" width="6.33203125" style="181" customWidth="1"/>
    <col min="15912" max="15912" width="7.1640625" style="181" bestFit="1" customWidth="1"/>
    <col min="15913" max="15913" width="4.5" style="181" bestFit="1" customWidth="1"/>
    <col min="15914" max="15914" width="6.6640625" style="181" customWidth="1"/>
    <col min="15915" max="15915" width="5.83203125" style="181" bestFit="1" customWidth="1"/>
    <col min="15916" max="15916" width="5.6640625" style="181" bestFit="1" customWidth="1"/>
    <col min="15917" max="15917" width="4.83203125" style="181" bestFit="1" customWidth="1"/>
    <col min="15918" max="15918" width="5.6640625" style="181" bestFit="1" customWidth="1"/>
    <col min="15919" max="15919" width="4.83203125" style="181" bestFit="1" customWidth="1"/>
    <col min="15920" max="15920" width="5.6640625" style="181" bestFit="1" customWidth="1"/>
    <col min="15921" max="15921" width="5.33203125" style="181" bestFit="1" customWidth="1"/>
    <col min="15922" max="15922" width="6.33203125" style="181" bestFit="1" customWidth="1"/>
    <col min="15923" max="15923" width="8.83203125" style="181" customWidth="1"/>
    <col min="15924" max="15934" width="5.83203125" style="181" bestFit="1" customWidth="1"/>
    <col min="15935" max="16132" width="8.83203125" style="181"/>
    <col min="16133" max="16133" width="8.33203125" style="181" customWidth="1"/>
    <col min="16134" max="16134" width="7" style="181" customWidth="1"/>
    <col min="16135" max="16135" width="5.33203125" style="181" bestFit="1" customWidth="1"/>
    <col min="16136" max="16136" width="6.83203125" style="181" bestFit="1" customWidth="1"/>
    <col min="16137" max="16137" width="7.83203125" style="181" bestFit="1" customWidth="1"/>
    <col min="16138" max="16139" width="6.83203125" style="181" customWidth="1"/>
    <col min="16140" max="16140" width="8.5" style="181" customWidth="1"/>
    <col min="16141" max="16141" width="9" style="181" customWidth="1"/>
    <col min="16142" max="16142" width="5.83203125" style="181" bestFit="1" customWidth="1"/>
    <col min="16143" max="16143" width="6.33203125" style="181" bestFit="1" customWidth="1"/>
    <col min="16144" max="16144" width="5.6640625" style="181" bestFit="1" customWidth="1"/>
    <col min="16145" max="16145" width="4.83203125" style="181" bestFit="1" customWidth="1"/>
    <col min="16146" max="16146" width="5.6640625" style="181" bestFit="1" customWidth="1"/>
    <col min="16147" max="16147" width="4.83203125" style="181" bestFit="1" customWidth="1"/>
    <col min="16148" max="16148" width="4.33203125" style="181" bestFit="1" customWidth="1"/>
    <col min="16149" max="16149" width="5.33203125" style="181" bestFit="1" customWidth="1"/>
    <col min="16150" max="16150" width="5.5" style="181" customWidth="1"/>
    <col min="16151" max="16151" width="5.33203125" style="181" bestFit="1" customWidth="1"/>
    <col min="16152" max="16152" width="6" style="181" customWidth="1"/>
    <col min="16153" max="16153" width="5" style="181" customWidth="1"/>
    <col min="16154" max="16154" width="5.83203125" style="181" customWidth="1"/>
    <col min="16155" max="16155" width="7.33203125" style="181" bestFit="1" customWidth="1"/>
    <col min="16156" max="16157" width="6.33203125" style="181" bestFit="1" customWidth="1"/>
    <col min="16158" max="16167" width="6.33203125" style="181" customWidth="1"/>
    <col min="16168" max="16168" width="7.1640625" style="181" bestFit="1" customWidth="1"/>
    <col min="16169" max="16169" width="4.5" style="181" bestFit="1" customWidth="1"/>
    <col min="16170" max="16170" width="6.6640625" style="181" customWidth="1"/>
    <col min="16171" max="16171" width="5.83203125" style="181" bestFit="1" customWidth="1"/>
    <col min="16172" max="16172" width="5.6640625" style="181" bestFit="1" customWidth="1"/>
    <col min="16173" max="16173" width="4.83203125" style="181" bestFit="1" customWidth="1"/>
    <col min="16174" max="16174" width="5.6640625" style="181" bestFit="1" customWidth="1"/>
    <col min="16175" max="16175" width="4.83203125" style="181" bestFit="1" customWidth="1"/>
    <col min="16176" max="16176" width="5.6640625" style="181" bestFit="1" customWidth="1"/>
    <col min="16177" max="16177" width="5.33203125" style="181" bestFit="1" customWidth="1"/>
    <col min="16178" max="16178" width="6.33203125" style="181" bestFit="1" customWidth="1"/>
    <col min="16179" max="16179" width="8.83203125" style="181" customWidth="1"/>
    <col min="16180" max="16190" width="5.83203125" style="181" bestFit="1" customWidth="1"/>
    <col min="16191" max="16384" width="8.83203125" style="181"/>
  </cols>
  <sheetData>
    <row r="1" spans="1:61" ht="16.25" customHeight="1">
      <c r="A1" s="224" t="s">
        <v>101</v>
      </c>
      <c r="M1" s="283"/>
      <c r="X1" s="507"/>
      <c r="BB1" s="283"/>
      <c r="BD1" s="283"/>
      <c r="BE1" s="283"/>
      <c r="BF1" s="283"/>
      <c r="BG1" s="283"/>
      <c r="BH1" s="283"/>
    </row>
    <row r="2" spans="1:61" ht="17" thickBot="1">
      <c r="A2" s="226" t="s">
        <v>102</v>
      </c>
      <c r="D2" s="193"/>
      <c r="L2" s="283"/>
      <c r="M2" s="283"/>
      <c r="Y2" s="507"/>
      <c r="Z2" s="507"/>
      <c r="AA2" s="507"/>
      <c r="AC2" s="507"/>
      <c r="AG2" s="223"/>
      <c r="AI2" s="507"/>
      <c r="AK2" s="507"/>
      <c r="AO2" s="507"/>
      <c r="AQ2" s="507"/>
      <c r="AS2" s="507"/>
      <c r="AU2" s="507"/>
      <c r="AW2" s="507"/>
      <c r="BA2" s="445"/>
      <c r="BB2" s="445"/>
      <c r="BC2" s="445"/>
      <c r="BD2" s="445"/>
      <c r="BE2" s="283"/>
      <c r="BF2" s="283"/>
      <c r="BG2" s="283"/>
      <c r="BH2" s="283"/>
    </row>
    <row r="3" spans="1:61" ht="16.5" customHeight="1" thickBot="1">
      <c r="A3" s="733"/>
      <c r="B3" s="692" t="s">
        <v>103</v>
      </c>
      <c r="C3" s="692" t="s">
        <v>104</v>
      </c>
      <c r="D3" s="727" t="s">
        <v>182</v>
      </c>
      <c r="E3" s="728"/>
      <c r="F3" s="715" t="s">
        <v>105</v>
      </c>
      <c r="G3" s="720"/>
      <c r="H3" s="720"/>
      <c r="I3" s="716"/>
      <c r="J3" s="727" t="s">
        <v>183</v>
      </c>
      <c r="K3" s="728"/>
      <c r="L3" s="727" t="s">
        <v>106</v>
      </c>
      <c r="M3" s="728"/>
      <c r="N3" s="727" t="s">
        <v>107</v>
      </c>
      <c r="O3" s="728"/>
      <c r="P3" s="727" t="s">
        <v>108</v>
      </c>
      <c r="Q3" s="737"/>
      <c r="R3" s="737"/>
      <c r="S3" s="728"/>
      <c r="T3" s="727" t="s">
        <v>224</v>
      </c>
      <c r="U3" s="737"/>
      <c r="V3" s="737"/>
      <c r="W3" s="728"/>
      <c r="X3" s="700" t="s">
        <v>109</v>
      </c>
      <c r="Y3" s="701"/>
      <c r="Z3" s="701"/>
      <c r="AA3" s="701"/>
      <c r="AB3" s="701"/>
      <c r="AC3" s="702"/>
      <c r="AD3" s="700" t="s">
        <v>110</v>
      </c>
      <c r="AE3" s="701"/>
      <c r="AF3" s="701"/>
      <c r="AG3" s="702"/>
      <c r="AH3" s="700" t="s">
        <v>111</v>
      </c>
      <c r="AI3" s="701"/>
      <c r="AJ3" s="701"/>
      <c r="AK3" s="701"/>
      <c r="AL3" s="701"/>
      <c r="AM3" s="702"/>
      <c r="AN3" s="700" t="s">
        <v>65</v>
      </c>
      <c r="AO3" s="701"/>
      <c r="AP3" s="701"/>
      <c r="AQ3" s="701"/>
      <c r="AR3" s="701"/>
      <c r="AS3" s="701"/>
      <c r="AT3" s="701"/>
      <c r="AU3" s="701"/>
      <c r="AV3" s="701"/>
      <c r="AW3" s="702"/>
      <c r="AX3" s="706" t="s">
        <v>210</v>
      </c>
      <c r="AY3" s="707"/>
      <c r="AZ3" s="708"/>
      <c r="BA3" s="724" t="s">
        <v>201</v>
      </c>
      <c r="BB3" s="725"/>
      <c r="BC3" s="725"/>
      <c r="BD3" s="726"/>
      <c r="BE3" s="721" t="s">
        <v>207</v>
      </c>
      <c r="BF3" s="722"/>
      <c r="BG3" s="722"/>
      <c r="BH3" s="723"/>
    </row>
    <row r="4" spans="1:61" ht="16.25" customHeight="1" thickBot="1">
      <c r="A4" s="734"/>
      <c r="B4" s="736"/>
      <c r="C4" s="736"/>
      <c r="D4" s="729"/>
      <c r="E4" s="730"/>
      <c r="F4" s="692" t="s">
        <v>112</v>
      </c>
      <c r="G4" s="692" t="s">
        <v>113</v>
      </c>
      <c r="H4" s="696" t="s">
        <v>114</v>
      </c>
      <c r="I4" s="697"/>
      <c r="J4" s="729"/>
      <c r="K4" s="730"/>
      <c r="L4" s="729"/>
      <c r="M4" s="730"/>
      <c r="N4" s="729"/>
      <c r="O4" s="730"/>
      <c r="P4" s="731"/>
      <c r="Q4" s="738"/>
      <c r="R4" s="738"/>
      <c r="S4" s="732"/>
      <c r="T4" s="731"/>
      <c r="U4" s="738"/>
      <c r="V4" s="738"/>
      <c r="W4" s="732"/>
      <c r="X4" s="696" t="s">
        <v>39</v>
      </c>
      <c r="Y4" s="697"/>
      <c r="Z4" s="696" t="s">
        <v>71</v>
      </c>
      <c r="AA4" s="697"/>
      <c r="AB4" s="727" t="s">
        <v>197</v>
      </c>
      <c r="AC4" s="728"/>
      <c r="AD4" s="696" t="s">
        <v>39</v>
      </c>
      <c r="AE4" s="697"/>
      <c r="AF4" s="696" t="s">
        <v>71</v>
      </c>
      <c r="AG4" s="697"/>
      <c r="AH4" s="696" t="s">
        <v>39</v>
      </c>
      <c r="AI4" s="697"/>
      <c r="AJ4" s="696" t="s">
        <v>218</v>
      </c>
      <c r="AK4" s="697"/>
      <c r="AL4" s="696" t="s">
        <v>71</v>
      </c>
      <c r="AM4" s="697"/>
      <c r="AN4" s="715" t="s">
        <v>39</v>
      </c>
      <c r="AO4" s="720"/>
      <c r="AP4" s="720"/>
      <c r="AQ4" s="720"/>
      <c r="AR4" s="715" t="s">
        <v>71</v>
      </c>
      <c r="AS4" s="720"/>
      <c r="AT4" s="720"/>
      <c r="AU4" s="720"/>
      <c r="AV4" s="720"/>
      <c r="AW4" s="716"/>
      <c r="AX4" s="709"/>
      <c r="AY4" s="710"/>
      <c r="AZ4" s="711"/>
      <c r="BA4" s="703" t="s">
        <v>208</v>
      </c>
      <c r="BB4" s="704" t="s">
        <v>206</v>
      </c>
      <c r="BC4" s="704" t="s">
        <v>205</v>
      </c>
      <c r="BD4" s="703" t="s">
        <v>204</v>
      </c>
      <c r="BE4" s="703" t="s">
        <v>208</v>
      </c>
      <c r="BF4" s="703" t="s">
        <v>206</v>
      </c>
      <c r="BG4" s="703" t="s">
        <v>205</v>
      </c>
      <c r="BH4" s="703" t="s">
        <v>204</v>
      </c>
    </row>
    <row r="5" spans="1:61" ht="17" thickBot="1">
      <c r="A5" s="734"/>
      <c r="B5" s="736"/>
      <c r="C5" s="736"/>
      <c r="D5" s="731"/>
      <c r="E5" s="732"/>
      <c r="F5" s="693"/>
      <c r="G5" s="693"/>
      <c r="H5" s="698"/>
      <c r="I5" s="699"/>
      <c r="J5" s="731"/>
      <c r="K5" s="732"/>
      <c r="L5" s="731"/>
      <c r="M5" s="732"/>
      <c r="N5" s="731"/>
      <c r="O5" s="732"/>
      <c r="P5" s="715" t="s">
        <v>115</v>
      </c>
      <c r="Q5" s="716"/>
      <c r="R5" s="715" t="s">
        <v>116</v>
      </c>
      <c r="S5" s="720"/>
      <c r="T5" s="715" t="s">
        <v>115</v>
      </c>
      <c r="U5" s="716"/>
      <c r="V5" s="715" t="s">
        <v>116</v>
      </c>
      <c r="W5" s="716"/>
      <c r="X5" s="698"/>
      <c r="Y5" s="699"/>
      <c r="Z5" s="698"/>
      <c r="AA5" s="699"/>
      <c r="AB5" s="731"/>
      <c r="AC5" s="732"/>
      <c r="AD5" s="698"/>
      <c r="AE5" s="699"/>
      <c r="AF5" s="698"/>
      <c r="AG5" s="699"/>
      <c r="AH5" s="698"/>
      <c r="AI5" s="699"/>
      <c r="AJ5" s="698"/>
      <c r="AK5" s="699"/>
      <c r="AL5" s="698"/>
      <c r="AM5" s="699"/>
      <c r="AN5" s="715" t="s">
        <v>117</v>
      </c>
      <c r="AO5" s="716"/>
      <c r="AP5" s="683" t="s">
        <v>118</v>
      </c>
      <c r="AQ5" s="683"/>
      <c r="AR5" s="682" t="s">
        <v>119</v>
      </c>
      <c r="AS5" s="684"/>
      <c r="AT5" s="717" t="s">
        <v>120</v>
      </c>
      <c r="AU5" s="697"/>
      <c r="AV5" s="718" t="s">
        <v>121</v>
      </c>
      <c r="AW5" s="719"/>
      <c r="AX5" s="712"/>
      <c r="AY5" s="713"/>
      <c r="AZ5" s="714"/>
      <c r="BA5" s="704"/>
      <c r="BB5" s="704"/>
      <c r="BC5" s="704"/>
      <c r="BD5" s="704"/>
      <c r="BE5" s="704"/>
      <c r="BF5" s="704"/>
      <c r="BG5" s="704"/>
      <c r="BH5" s="704"/>
    </row>
    <row r="6" spans="1:61" ht="16.5" customHeight="1" thickBot="1">
      <c r="A6" s="735"/>
      <c r="B6" s="736"/>
      <c r="C6" s="693"/>
      <c r="D6" s="177" t="s">
        <v>122</v>
      </c>
      <c r="E6" s="177" t="s">
        <v>123</v>
      </c>
      <c r="F6" s="694" t="s">
        <v>124</v>
      </c>
      <c r="G6" s="695"/>
      <c r="H6" s="177" t="s">
        <v>122</v>
      </c>
      <c r="I6" s="227" t="s">
        <v>123</v>
      </c>
      <c r="J6" s="186" t="s">
        <v>122</v>
      </c>
      <c r="K6" s="227" t="s">
        <v>123</v>
      </c>
      <c r="L6" s="177" t="s">
        <v>122</v>
      </c>
      <c r="M6" s="227" t="s">
        <v>123</v>
      </c>
      <c r="N6" s="186" t="s">
        <v>122</v>
      </c>
      <c r="O6" s="227" t="s">
        <v>123</v>
      </c>
      <c r="P6" s="228" t="s">
        <v>125</v>
      </c>
      <c r="Q6" s="229" t="s">
        <v>126</v>
      </c>
      <c r="R6" s="228" t="s">
        <v>125</v>
      </c>
      <c r="S6" s="229" t="s">
        <v>126</v>
      </c>
      <c r="T6" s="230" t="s">
        <v>122</v>
      </c>
      <c r="U6" s="177" t="s">
        <v>123</v>
      </c>
      <c r="V6" s="230" t="s">
        <v>122</v>
      </c>
      <c r="W6" s="177" t="s">
        <v>123</v>
      </c>
      <c r="X6" s="177" t="s">
        <v>122</v>
      </c>
      <c r="Y6" s="325" t="s">
        <v>123</v>
      </c>
      <c r="Z6" s="186" t="s">
        <v>122</v>
      </c>
      <c r="AA6" s="439" t="s">
        <v>123</v>
      </c>
      <c r="AB6" s="186" t="s">
        <v>122</v>
      </c>
      <c r="AC6" s="383" t="s">
        <v>123</v>
      </c>
      <c r="AD6" s="177" t="s">
        <v>122</v>
      </c>
      <c r="AE6" s="321" t="s">
        <v>123</v>
      </c>
      <c r="AF6" s="177" t="s">
        <v>122</v>
      </c>
      <c r="AG6" s="321" t="s">
        <v>123</v>
      </c>
      <c r="AH6" s="177" t="s">
        <v>122</v>
      </c>
      <c r="AI6" s="573"/>
      <c r="AJ6" s="177" t="s">
        <v>122</v>
      </c>
      <c r="AK6" s="573" t="s">
        <v>123</v>
      </c>
      <c r="AL6" s="177" t="s">
        <v>122</v>
      </c>
      <c r="AM6" s="321" t="s">
        <v>123</v>
      </c>
      <c r="AN6" s="449" t="s">
        <v>122</v>
      </c>
      <c r="AO6" s="450" t="s">
        <v>123</v>
      </c>
      <c r="AP6" s="449" t="s">
        <v>122</v>
      </c>
      <c r="AQ6" s="450" t="s">
        <v>123</v>
      </c>
      <c r="AR6" s="177" t="s">
        <v>122</v>
      </c>
      <c r="AS6" s="448" t="s">
        <v>123</v>
      </c>
      <c r="AT6" s="448" t="s">
        <v>122</v>
      </c>
      <c r="AU6" s="448" t="s">
        <v>123</v>
      </c>
      <c r="AV6" s="177" t="s">
        <v>122</v>
      </c>
      <c r="AW6" s="448" t="s">
        <v>123</v>
      </c>
      <c r="AX6" s="446" t="s">
        <v>206</v>
      </c>
      <c r="AY6" s="483" t="s">
        <v>202</v>
      </c>
      <c r="AZ6" s="483" t="s">
        <v>203</v>
      </c>
      <c r="BA6" s="704"/>
      <c r="BB6" s="704"/>
      <c r="BC6" s="704"/>
      <c r="BD6" s="704"/>
      <c r="BE6" s="705"/>
      <c r="BF6" s="705"/>
      <c r="BG6" s="705"/>
      <c r="BH6" s="705"/>
    </row>
    <row r="7" spans="1:61">
      <c r="A7" s="231">
        <v>1992</v>
      </c>
      <c r="B7" s="457">
        <v>11200.183333333332</v>
      </c>
      <c r="C7" s="458">
        <v>0.28443703504687107</v>
      </c>
      <c r="D7" s="326">
        <v>594547.28940079338</v>
      </c>
      <c r="E7" s="202"/>
      <c r="F7" s="459">
        <v>13587.6</v>
      </c>
      <c r="G7" s="459">
        <v>54862.399999999994</v>
      </c>
      <c r="H7" s="326">
        <v>68450</v>
      </c>
      <c r="I7" s="460"/>
      <c r="J7" s="233">
        <f>ROUND(D7/H7,3)</f>
        <v>8.6859999999999999</v>
      </c>
      <c r="K7" s="232"/>
      <c r="L7" s="326">
        <v>797.3</v>
      </c>
      <c r="M7" s="460"/>
      <c r="N7" s="326">
        <v>747.9</v>
      </c>
      <c r="O7" s="460"/>
      <c r="P7" s="363">
        <v>0.58899999999999997</v>
      </c>
      <c r="Q7" s="364">
        <v>4.3120000000000003</v>
      </c>
      <c r="R7" s="364">
        <v>4.7930000000000001</v>
      </c>
      <c r="S7" s="447">
        <v>3.3029999999999999</v>
      </c>
      <c r="T7" s="235">
        <f>ROUND((1.2*P7*$F7+1.1*Q7*$G7)/$H7,3)</f>
        <v>3.9420000000000002</v>
      </c>
      <c r="U7" s="236"/>
      <c r="V7" s="235">
        <f t="shared" ref="V7:V27" si="0">ROUND((1.2*R7*$F7+1.1*S7*$G7)/$H7,3)</f>
        <v>4.0540000000000003</v>
      </c>
      <c r="W7" s="236"/>
      <c r="X7" s="200">
        <f>ROUND(0.9*N7,1)</f>
        <v>673.1</v>
      </c>
      <c r="Y7" s="237"/>
      <c r="Z7" s="200">
        <f t="shared" ref="Z7:Z31" si="1">ROUND(0.5*L7,1)</f>
        <v>398.7</v>
      </c>
      <c r="AA7" s="199"/>
      <c r="AB7" s="201">
        <f>AX7*Z7</f>
        <v>397.90259999999995</v>
      </c>
      <c r="AC7" s="199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7"/>
      <c r="AN7" s="200">
        <f>ROUND(T7*H7*0.001,1)</f>
        <v>269.8</v>
      </c>
      <c r="AO7" s="237"/>
      <c r="AP7" s="14">
        <f t="shared" ref="AP7:AP33" si="2">L7*BE7*BA7</f>
        <v>322.02867270000007</v>
      </c>
      <c r="AQ7" s="286"/>
      <c r="AR7" s="201">
        <f>Z7-AF7+AL7</f>
        <v>386.5</v>
      </c>
      <c r="AS7" s="286"/>
      <c r="AT7" s="402">
        <f>0.998*AR7</f>
        <v>385.72699999999998</v>
      </c>
      <c r="AU7" s="179"/>
      <c r="AV7" s="12">
        <v>0</v>
      </c>
      <c r="AW7" s="9"/>
      <c r="AX7" s="484">
        <f>1-AY7-AZ7</f>
        <v>0.99799999999999989</v>
      </c>
      <c r="AY7" s="441">
        <f>(AR7-AT7-AV7)/AR7</f>
        <v>2.0000000000000634E-3</v>
      </c>
      <c r="AZ7" s="458">
        <f>AV7/AR7</f>
        <v>0</v>
      </c>
      <c r="BA7" s="441">
        <f>SUMPRODUCT(AX7:AZ7,BB7:BD7)</f>
        <v>0.10100000000000003</v>
      </c>
      <c r="BB7" s="485">
        <v>0.1</v>
      </c>
      <c r="BC7" s="485">
        <v>0.6</v>
      </c>
      <c r="BD7" s="486">
        <v>0.7</v>
      </c>
      <c r="BE7" s="441">
        <f t="shared" ref="BE7:BE24" si="3">SUMPRODUCT(AX7:AZ7,BF7:BH7)</f>
        <v>3.9989999999999997</v>
      </c>
      <c r="BF7" s="485">
        <v>4</v>
      </c>
      <c r="BG7" s="485">
        <v>3.5</v>
      </c>
      <c r="BH7" s="486">
        <v>3</v>
      </c>
      <c r="BI7" s="507"/>
    </row>
    <row r="8" spans="1:61">
      <c r="A8" s="209">
        <v>1993</v>
      </c>
      <c r="B8" s="248">
        <v>10642.191666666668</v>
      </c>
      <c r="C8" s="289">
        <v>0.29945658290036287</v>
      </c>
      <c r="D8" s="327">
        <v>642575.01545093849</v>
      </c>
      <c r="E8" s="206"/>
      <c r="F8" s="461">
        <v>13959.699999999999</v>
      </c>
      <c r="G8" s="461">
        <v>55683.399999999994</v>
      </c>
      <c r="H8" s="327">
        <v>69643.099999999991</v>
      </c>
      <c r="I8" s="462"/>
      <c r="J8" s="207">
        <f t="shared" ref="J8:J26" si="4">ROUND(D8/H8,3)</f>
        <v>9.2270000000000003</v>
      </c>
      <c r="K8" s="208"/>
      <c r="L8" s="327">
        <v>878.4</v>
      </c>
      <c r="M8" s="462"/>
      <c r="N8" s="327">
        <v>882.39999999999986</v>
      </c>
      <c r="O8" s="462"/>
      <c r="P8" s="472">
        <f t="shared" ref="P8:S12" si="5">ROUND((P$13/P$7)^(1/6)*P7,3)</f>
        <v>0.53400000000000003</v>
      </c>
      <c r="Q8" s="329">
        <f t="shared" si="5"/>
        <v>3.8530000000000002</v>
      </c>
      <c r="R8" s="329">
        <f t="shared" si="5"/>
        <v>5.0039999999999996</v>
      </c>
      <c r="S8" s="406">
        <f t="shared" si="5"/>
        <v>3.53</v>
      </c>
      <c r="T8" s="328">
        <f>ROUND((1.2*P8*$F8+1.1*Q8*$G8)/$H8,3)</f>
        <v>3.5169999999999999</v>
      </c>
      <c r="U8" s="330"/>
      <c r="V8" s="328">
        <f t="shared" si="0"/>
        <v>4.3079999999999998</v>
      </c>
      <c r="W8" s="239"/>
      <c r="X8" s="204">
        <f t="shared" ref="X8:X25" si="6">ROUND(0.9*N8,1)</f>
        <v>794.2</v>
      </c>
      <c r="Y8" s="193"/>
      <c r="Z8" s="204">
        <f t="shared" si="1"/>
        <v>439.2</v>
      </c>
      <c r="AA8" s="210"/>
      <c r="AB8" s="205">
        <f t="shared" ref="AB8:AB33" si="7">AX8*Z8</f>
        <v>438.32159999999999</v>
      </c>
      <c r="AC8" s="210"/>
      <c r="AD8" s="175">
        <v>94</v>
      </c>
      <c r="AE8" s="405"/>
      <c r="AF8" s="17">
        <v>19.7</v>
      </c>
      <c r="AG8" s="405"/>
      <c r="AH8" s="174">
        <v>13</v>
      </c>
      <c r="AI8" s="405"/>
      <c r="AJ8" s="174">
        <f t="shared" ref="AJ8:AJ33" si="8">IF(AP8-(X8-AN8)&lt;0,0,AP8-(X8-AN8))</f>
        <v>0</v>
      </c>
      <c r="AK8" s="405"/>
      <c r="AL8" s="18">
        <v>0</v>
      </c>
      <c r="AM8" s="193"/>
      <c r="AN8" s="204">
        <f t="shared" ref="AN8:AN26" si="9">ROUND(T8*H8*0.001,1)</f>
        <v>244.9</v>
      </c>
      <c r="AO8" s="193"/>
      <c r="AP8" s="17">
        <f t="shared" si="2"/>
        <v>354.78488159999995</v>
      </c>
      <c r="AQ8" s="19"/>
      <c r="AR8" s="205">
        <f t="shared" ref="AR8:AR26" si="10">Z8-AF8+AL8</f>
        <v>419.5</v>
      </c>
      <c r="AS8" s="19"/>
      <c r="AT8" s="402">
        <f t="shared" ref="AT8:AT10" si="11">0.998*AR8</f>
        <v>418.661</v>
      </c>
      <c r="AU8" s="175"/>
      <c r="AV8" s="12">
        <v>0</v>
      </c>
      <c r="AW8" s="13"/>
      <c r="AX8" s="487">
        <f t="shared" ref="AX8:AX32" si="12">1-AY8-AZ8</f>
        <v>0.998</v>
      </c>
      <c r="AY8" s="440">
        <f t="shared" ref="AY8:AY32" si="13">(AR8-AT8-AV8)/AR8</f>
        <v>1.9999999999999966E-3</v>
      </c>
      <c r="AZ8" s="289">
        <f t="shared" ref="AZ8:AZ32" si="14">AV8/AR8</f>
        <v>0</v>
      </c>
      <c r="BA8" s="440">
        <f t="shared" ref="BA8:BA30" si="15">SUMPRODUCT(AX8:AZ8,BB8:BD8)</f>
        <v>0.10099999999999999</v>
      </c>
      <c r="BB8" s="470">
        <v>0.1</v>
      </c>
      <c r="BC8" s="470">
        <v>0.6</v>
      </c>
      <c r="BD8" s="471">
        <v>0.7</v>
      </c>
      <c r="BE8" s="440">
        <f t="shared" si="3"/>
        <v>3.9990000000000001</v>
      </c>
      <c r="BF8" s="470">
        <v>4</v>
      </c>
      <c r="BG8" s="470">
        <v>3.5</v>
      </c>
      <c r="BH8" s="471">
        <v>3</v>
      </c>
      <c r="BI8" s="507"/>
    </row>
    <row r="9" spans="1:61">
      <c r="A9" s="209">
        <v>1994</v>
      </c>
      <c r="B9" s="248">
        <v>10953.833333333334</v>
      </c>
      <c r="C9" s="289">
        <v>0.34306297239774386</v>
      </c>
      <c r="D9" s="327">
        <v>699337.9041380483</v>
      </c>
      <c r="E9" s="206"/>
      <c r="F9" s="461">
        <v>14426</v>
      </c>
      <c r="G9" s="461">
        <v>56398.499999999993</v>
      </c>
      <c r="H9" s="327">
        <v>70824.5</v>
      </c>
      <c r="I9" s="462"/>
      <c r="J9" s="207">
        <f t="shared" si="4"/>
        <v>9.8740000000000006</v>
      </c>
      <c r="K9" s="208"/>
      <c r="L9" s="327">
        <v>951.2</v>
      </c>
      <c r="M9" s="462"/>
      <c r="N9" s="327">
        <v>1143.9000000000001</v>
      </c>
      <c r="O9" s="462"/>
      <c r="P9" s="472">
        <f t="shared" si="5"/>
        <v>0.48399999999999999</v>
      </c>
      <c r="Q9" s="329">
        <f t="shared" si="5"/>
        <v>3.4430000000000001</v>
      </c>
      <c r="R9" s="329">
        <f t="shared" si="5"/>
        <v>5.2249999999999996</v>
      </c>
      <c r="S9" s="406">
        <f t="shared" si="5"/>
        <v>3.7730000000000001</v>
      </c>
      <c r="T9" s="328">
        <f t="shared" ref="T9:T26" si="16">ROUND((1.2*P9*$F9+1.1*Q9*$G9)/$H9,3)</f>
        <v>3.1339999999999999</v>
      </c>
      <c r="U9" s="330"/>
      <c r="V9" s="328">
        <f t="shared" si="0"/>
        <v>4.5819999999999999</v>
      </c>
      <c r="W9" s="239"/>
      <c r="X9" s="204">
        <f t="shared" si="6"/>
        <v>1029.5</v>
      </c>
      <c r="Y9" s="193"/>
      <c r="Z9" s="204">
        <f t="shared" si="1"/>
        <v>475.6</v>
      </c>
      <c r="AA9" s="210"/>
      <c r="AB9" s="205">
        <f t="shared" si="7"/>
        <v>474.64879999999999</v>
      </c>
      <c r="AC9" s="210"/>
      <c r="AD9" s="175">
        <v>30</v>
      </c>
      <c r="AE9" s="405"/>
      <c r="AF9" s="17">
        <v>12.6</v>
      </c>
      <c r="AG9" s="405"/>
      <c r="AH9" s="174">
        <v>25</v>
      </c>
      <c r="AI9" s="405"/>
      <c r="AJ9" s="174">
        <f t="shared" si="8"/>
        <v>0</v>
      </c>
      <c r="AK9" s="405"/>
      <c r="AL9" s="18">
        <v>0</v>
      </c>
      <c r="AM9" s="193"/>
      <c r="AN9" s="204">
        <f t="shared" si="9"/>
        <v>222</v>
      </c>
      <c r="AO9" s="193"/>
      <c r="AP9" s="17">
        <f t="shared" si="2"/>
        <v>384.18872879999992</v>
      </c>
      <c r="AQ9" s="19"/>
      <c r="AR9" s="205">
        <f t="shared" si="10"/>
        <v>463</v>
      </c>
      <c r="AS9" s="19"/>
      <c r="AT9" s="402">
        <f t="shared" si="11"/>
        <v>462.07400000000001</v>
      </c>
      <c r="AU9" s="175"/>
      <c r="AV9" s="12">
        <v>0</v>
      </c>
      <c r="AW9" s="13"/>
      <c r="AX9" s="487">
        <f t="shared" si="12"/>
        <v>0.998</v>
      </c>
      <c r="AY9" s="440">
        <f t="shared" si="13"/>
        <v>1.9999999999999736E-3</v>
      </c>
      <c r="AZ9" s="289">
        <f t="shared" si="14"/>
        <v>0</v>
      </c>
      <c r="BA9" s="440">
        <f t="shared" si="15"/>
        <v>0.10099999999999998</v>
      </c>
      <c r="BB9" s="470">
        <v>0.1</v>
      </c>
      <c r="BC9" s="470">
        <v>0.6</v>
      </c>
      <c r="BD9" s="471">
        <v>0.7</v>
      </c>
      <c r="BE9" s="440">
        <f t="shared" si="3"/>
        <v>3.9990000000000001</v>
      </c>
      <c r="BF9" s="470">
        <v>4</v>
      </c>
      <c r="BG9" s="470">
        <v>3.5</v>
      </c>
      <c r="BH9" s="471">
        <v>3</v>
      </c>
      <c r="BI9" s="507"/>
    </row>
    <row r="10" spans="1:61">
      <c r="A10" s="209">
        <v>1995</v>
      </c>
      <c r="B10" s="248">
        <v>11009.141666666668</v>
      </c>
      <c r="C10" s="289">
        <v>0.38679763410796036</v>
      </c>
      <c r="D10" s="327">
        <v>766058.09480863973</v>
      </c>
      <c r="E10" s="206"/>
      <c r="F10" s="461">
        <v>14938.099999999999</v>
      </c>
      <c r="G10" s="461">
        <v>57057.400000000009</v>
      </c>
      <c r="H10" s="327">
        <v>71995.5</v>
      </c>
      <c r="I10" s="462"/>
      <c r="J10" s="207">
        <f t="shared" si="4"/>
        <v>10.64</v>
      </c>
      <c r="K10" s="208"/>
      <c r="L10" s="327">
        <v>1006.8000000000001</v>
      </c>
      <c r="M10" s="462"/>
      <c r="N10" s="327">
        <v>1177.2</v>
      </c>
      <c r="O10" s="462"/>
      <c r="P10" s="472">
        <f t="shared" si="5"/>
        <v>0.439</v>
      </c>
      <c r="Q10" s="329">
        <f t="shared" si="5"/>
        <v>3.077</v>
      </c>
      <c r="R10" s="329">
        <f t="shared" si="5"/>
        <v>5.4550000000000001</v>
      </c>
      <c r="S10" s="406">
        <f t="shared" si="5"/>
        <v>4.032</v>
      </c>
      <c r="T10" s="328">
        <f t="shared" si="16"/>
        <v>2.7919999999999998</v>
      </c>
      <c r="U10" s="330"/>
      <c r="V10" s="328">
        <f t="shared" si="0"/>
        <v>4.8730000000000002</v>
      </c>
      <c r="W10" s="239"/>
      <c r="X10" s="204">
        <f t="shared" si="6"/>
        <v>1059.5</v>
      </c>
      <c r="Y10" s="193"/>
      <c r="Z10" s="204">
        <f t="shared" si="1"/>
        <v>503.4</v>
      </c>
      <c r="AA10" s="210"/>
      <c r="AB10" s="205">
        <f t="shared" si="7"/>
        <v>502.39319999999998</v>
      </c>
      <c r="AC10" s="210"/>
      <c r="AD10" s="175">
        <v>66</v>
      </c>
      <c r="AE10" s="405"/>
      <c r="AF10" s="17">
        <v>6.4</v>
      </c>
      <c r="AG10" s="405"/>
      <c r="AH10" s="174">
        <v>32</v>
      </c>
      <c r="AI10" s="405"/>
      <c r="AJ10" s="174">
        <f t="shared" si="8"/>
        <v>0</v>
      </c>
      <c r="AK10" s="405"/>
      <c r="AL10" s="18">
        <v>0</v>
      </c>
      <c r="AM10" s="193"/>
      <c r="AN10" s="204">
        <f t="shared" si="9"/>
        <v>201</v>
      </c>
      <c r="AO10" s="193"/>
      <c r="AP10" s="17">
        <f t="shared" si="2"/>
        <v>406.64551320000015</v>
      </c>
      <c r="AQ10" s="19"/>
      <c r="AR10" s="205">
        <f t="shared" si="10"/>
        <v>497</v>
      </c>
      <c r="AS10" s="19"/>
      <c r="AT10" s="402">
        <f t="shared" si="11"/>
        <v>496.00599999999997</v>
      </c>
      <c r="AU10" s="175"/>
      <c r="AV10" s="12">
        <v>0</v>
      </c>
      <c r="AW10" s="13"/>
      <c r="AX10" s="487">
        <f t="shared" si="12"/>
        <v>0.998</v>
      </c>
      <c r="AY10" s="440">
        <f t="shared" si="13"/>
        <v>2.0000000000000569E-3</v>
      </c>
      <c r="AZ10" s="289">
        <f t="shared" si="14"/>
        <v>0</v>
      </c>
      <c r="BA10" s="440">
        <f t="shared" si="15"/>
        <v>0.10100000000000003</v>
      </c>
      <c r="BB10" s="470">
        <v>0.1</v>
      </c>
      <c r="BC10" s="470">
        <v>0.6</v>
      </c>
      <c r="BD10" s="471">
        <v>0.7</v>
      </c>
      <c r="BE10" s="440">
        <f t="shared" si="3"/>
        <v>3.9990000000000001</v>
      </c>
      <c r="BF10" s="470">
        <v>4</v>
      </c>
      <c r="BG10" s="470">
        <v>3.5</v>
      </c>
      <c r="BH10" s="471">
        <v>3</v>
      </c>
      <c r="BI10" s="507"/>
    </row>
    <row r="11" spans="1:61">
      <c r="A11" s="209">
        <v>1996</v>
      </c>
      <c r="B11" s="248">
        <v>11026.941666666666</v>
      </c>
      <c r="C11" s="289">
        <v>0.40438566238845414</v>
      </c>
      <c r="D11" s="327">
        <v>837608.08616594761</v>
      </c>
      <c r="E11" s="206"/>
      <c r="F11" s="461">
        <v>15419.9</v>
      </c>
      <c r="G11" s="461">
        <v>57736.799999999996</v>
      </c>
      <c r="H11" s="327">
        <v>73156.7</v>
      </c>
      <c r="I11" s="462"/>
      <c r="J11" s="207">
        <f t="shared" si="4"/>
        <v>11.45</v>
      </c>
      <c r="K11" s="208"/>
      <c r="L11" s="327">
        <v>1080.0000000000002</v>
      </c>
      <c r="M11" s="462"/>
      <c r="N11" s="327">
        <v>1536.6999999999998</v>
      </c>
      <c r="O11" s="462"/>
      <c r="P11" s="472">
        <f t="shared" si="5"/>
        <v>0.39800000000000002</v>
      </c>
      <c r="Q11" s="329">
        <f t="shared" si="5"/>
        <v>2.7490000000000001</v>
      </c>
      <c r="R11" s="329">
        <f t="shared" si="5"/>
        <v>5.6950000000000003</v>
      </c>
      <c r="S11" s="406">
        <f t="shared" si="5"/>
        <v>4.3090000000000002</v>
      </c>
      <c r="T11" s="328">
        <f t="shared" si="16"/>
        <v>2.4870000000000001</v>
      </c>
      <c r="U11" s="330"/>
      <c r="V11" s="328">
        <f t="shared" si="0"/>
        <v>5.181</v>
      </c>
      <c r="W11" s="239"/>
      <c r="X11" s="204">
        <f t="shared" si="6"/>
        <v>1383</v>
      </c>
      <c r="Y11" s="193"/>
      <c r="Z11" s="204">
        <f t="shared" si="1"/>
        <v>540</v>
      </c>
      <c r="AA11" s="210"/>
      <c r="AB11" s="205">
        <f t="shared" si="7"/>
        <v>534.6</v>
      </c>
      <c r="AC11" s="210"/>
      <c r="AD11" s="175">
        <v>19</v>
      </c>
      <c r="AE11" s="405"/>
      <c r="AF11" s="17">
        <v>10</v>
      </c>
      <c r="AG11" s="405"/>
      <c r="AH11" s="174">
        <v>17</v>
      </c>
      <c r="AI11" s="405"/>
      <c r="AJ11" s="174">
        <f t="shared" si="8"/>
        <v>0</v>
      </c>
      <c r="AK11" s="405"/>
      <c r="AL11" s="18">
        <v>0</v>
      </c>
      <c r="AM11" s="193"/>
      <c r="AN11" s="204">
        <f t="shared" si="9"/>
        <v>181.9</v>
      </c>
      <c r="AO11" s="193"/>
      <c r="AP11" s="17">
        <f t="shared" si="2"/>
        <v>453.03300000000002</v>
      </c>
      <c r="AQ11" s="19"/>
      <c r="AR11" s="205">
        <f t="shared" si="10"/>
        <v>530</v>
      </c>
      <c r="AS11" s="19"/>
      <c r="AT11" s="402">
        <f>0.99*AR11</f>
        <v>524.70000000000005</v>
      </c>
      <c r="AU11" s="175"/>
      <c r="AV11" s="12">
        <v>0</v>
      </c>
      <c r="AW11" s="13"/>
      <c r="AX11" s="487">
        <f t="shared" si="12"/>
        <v>0.9900000000000001</v>
      </c>
      <c r="AY11" s="440">
        <f t="shared" si="13"/>
        <v>9.9999999999999135E-3</v>
      </c>
      <c r="AZ11" s="289">
        <f t="shared" si="14"/>
        <v>0</v>
      </c>
      <c r="BA11" s="440">
        <f t="shared" si="15"/>
        <v>0.10499999999999997</v>
      </c>
      <c r="BB11" s="470">
        <v>0.1</v>
      </c>
      <c r="BC11" s="470">
        <v>0.6</v>
      </c>
      <c r="BD11" s="471">
        <v>0.7</v>
      </c>
      <c r="BE11" s="440">
        <f t="shared" si="3"/>
        <v>3.9950000000000001</v>
      </c>
      <c r="BF11" s="470">
        <v>4</v>
      </c>
      <c r="BG11" s="470">
        <v>3.5</v>
      </c>
      <c r="BH11" s="471">
        <v>3</v>
      </c>
      <c r="BI11" s="507"/>
    </row>
    <row r="12" spans="1:61">
      <c r="A12" s="209">
        <v>1997</v>
      </c>
      <c r="B12" s="248">
        <v>11127.583333333334</v>
      </c>
      <c r="C12" s="289">
        <v>0.41907688022191741</v>
      </c>
      <c r="D12" s="327">
        <v>905887.28792600625</v>
      </c>
      <c r="E12" s="206"/>
      <c r="F12" s="461">
        <v>16835.399999999998</v>
      </c>
      <c r="G12" s="461">
        <v>57471.500000000007</v>
      </c>
      <c r="H12" s="327">
        <v>74306.900000000009</v>
      </c>
      <c r="I12" s="462"/>
      <c r="J12" s="207">
        <f t="shared" si="4"/>
        <v>12.191000000000001</v>
      </c>
      <c r="K12" s="208"/>
      <c r="L12" s="327">
        <v>1154.1999999999998</v>
      </c>
      <c r="M12" s="462"/>
      <c r="N12" s="327">
        <v>1650.5999999999997</v>
      </c>
      <c r="O12" s="462"/>
      <c r="P12" s="472">
        <f t="shared" si="5"/>
        <v>0.36099999999999999</v>
      </c>
      <c r="Q12" s="329">
        <f t="shared" si="5"/>
        <v>2.456</v>
      </c>
      <c r="R12" s="329">
        <f t="shared" si="5"/>
        <v>5.9459999999999997</v>
      </c>
      <c r="S12" s="406">
        <f t="shared" si="5"/>
        <v>4.6050000000000004</v>
      </c>
      <c r="T12" s="328">
        <f t="shared" si="16"/>
        <v>2.1880000000000002</v>
      </c>
      <c r="U12" s="330"/>
      <c r="V12" s="328">
        <f t="shared" si="0"/>
        <v>5.5339999999999998</v>
      </c>
      <c r="W12" s="239"/>
      <c r="X12" s="204">
        <f t="shared" si="6"/>
        <v>1485.5</v>
      </c>
      <c r="Y12" s="193"/>
      <c r="Z12" s="204">
        <f t="shared" si="1"/>
        <v>577.1</v>
      </c>
      <c r="AA12" s="210"/>
      <c r="AB12" s="205">
        <f t="shared" si="7"/>
        <v>571.32899999999995</v>
      </c>
      <c r="AC12" s="210"/>
      <c r="AD12" s="175">
        <v>4</v>
      </c>
      <c r="AE12" s="405"/>
      <c r="AF12" s="17">
        <v>10</v>
      </c>
      <c r="AG12" s="405"/>
      <c r="AH12" s="174">
        <v>77</v>
      </c>
      <c r="AI12" s="405"/>
      <c r="AJ12" s="174">
        <f t="shared" si="8"/>
        <v>0</v>
      </c>
      <c r="AK12" s="405"/>
      <c r="AL12" s="18">
        <v>0</v>
      </c>
      <c r="AM12" s="193"/>
      <c r="AN12" s="204">
        <f t="shared" si="9"/>
        <v>162.6</v>
      </c>
      <c r="AO12" s="193"/>
      <c r="AP12" s="17">
        <f t="shared" si="2"/>
        <v>484.15804500000002</v>
      </c>
      <c r="AQ12" s="19"/>
      <c r="AR12" s="205">
        <f t="shared" si="10"/>
        <v>567.1</v>
      </c>
      <c r="AS12" s="19"/>
      <c r="AT12" s="402">
        <f t="shared" ref="AT12:AT13" si="17">0.99*AR12</f>
        <v>561.42899999999997</v>
      </c>
      <c r="AU12" s="175"/>
      <c r="AV12" s="12">
        <v>0</v>
      </c>
      <c r="AW12" s="13"/>
      <c r="AX12" s="487">
        <f t="shared" si="12"/>
        <v>0.98999999999999988</v>
      </c>
      <c r="AY12" s="440">
        <f t="shared" si="13"/>
        <v>1.0000000000000087E-2</v>
      </c>
      <c r="AZ12" s="289">
        <f t="shared" si="14"/>
        <v>0</v>
      </c>
      <c r="BA12" s="440">
        <f t="shared" si="15"/>
        <v>0.10500000000000004</v>
      </c>
      <c r="BB12" s="470">
        <v>0.1</v>
      </c>
      <c r="BC12" s="470">
        <v>0.6</v>
      </c>
      <c r="BD12" s="471">
        <v>0.7</v>
      </c>
      <c r="BE12" s="440">
        <f t="shared" si="3"/>
        <v>3.9949999999999997</v>
      </c>
      <c r="BF12" s="470">
        <v>4</v>
      </c>
      <c r="BG12" s="470">
        <v>3.5</v>
      </c>
      <c r="BH12" s="471">
        <v>3</v>
      </c>
      <c r="BI12" s="507"/>
    </row>
    <row r="13" spans="1:61">
      <c r="A13" s="209">
        <v>1998</v>
      </c>
      <c r="B13" s="248">
        <v>12202.833333333334</v>
      </c>
      <c r="C13" s="289">
        <v>0.45772104524070467</v>
      </c>
      <c r="D13" s="327">
        <v>958110.24230986845</v>
      </c>
      <c r="E13" s="206"/>
      <c r="F13" s="461">
        <v>17464.600000000002</v>
      </c>
      <c r="G13" s="461">
        <v>57991.700000000004</v>
      </c>
      <c r="H13" s="327">
        <v>75456.3</v>
      </c>
      <c r="I13" s="462"/>
      <c r="J13" s="207">
        <f t="shared" si="4"/>
        <v>12.698</v>
      </c>
      <c r="K13" s="208"/>
      <c r="L13" s="327">
        <v>1227.9999999999998</v>
      </c>
      <c r="M13" s="462"/>
      <c r="N13" s="327">
        <v>1612</v>
      </c>
      <c r="O13" s="462"/>
      <c r="P13" s="365">
        <v>0.32600000000000001</v>
      </c>
      <c r="Q13" s="366">
        <v>2.1949999999999998</v>
      </c>
      <c r="R13" s="366">
        <v>6.2089999999999996</v>
      </c>
      <c r="S13" s="243">
        <v>4.9219999999999997</v>
      </c>
      <c r="T13" s="240">
        <f t="shared" si="16"/>
        <v>1.946</v>
      </c>
      <c r="U13" s="241"/>
      <c r="V13" s="240">
        <f t="shared" si="0"/>
        <v>5.8860000000000001</v>
      </c>
      <c r="W13" s="241"/>
      <c r="X13" s="204">
        <f t="shared" si="6"/>
        <v>1450.8</v>
      </c>
      <c r="Y13" s="193"/>
      <c r="Z13" s="204">
        <f t="shared" si="1"/>
        <v>614</v>
      </c>
      <c r="AA13" s="210"/>
      <c r="AB13" s="205">
        <f t="shared" si="7"/>
        <v>607.86</v>
      </c>
      <c r="AC13" s="210"/>
      <c r="AD13" s="175">
        <v>0</v>
      </c>
      <c r="AE13" s="405"/>
      <c r="AF13" s="17">
        <v>13</v>
      </c>
      <c r="AG13" s="405"/>
      <c r="AH13" s="174">
        <v>107</v>
      </c>
      <c r="AI13" s="405"/>
      <c r="AJ13" s="174">
        <f t="shared" si="8"/>
        <v>0</v>
      </c>
      <c r="AK13" s="405"/>
      <c r="AL13" s="18">
        <v>0</v>
      </c>
      <c r="AM13" s="193"/>
      <c r="AN13" s="204">
        <f t="shared" si="9"/>
        <v>146.80000000000001</v>
      </c>
      <c r="AO13" s="193"/>
      <c r="AP13" s="17">
        <f t="shared" si="2"/>
        <v>515.11529999999993</v>
      </c>
      <c r="AQ13" s="19"/>
      <c r="AR13" s="205">
        <f t="shared" si="10"/>
        <v>601</v>
      </c>
      <c r="AS13" s="19"/>
      <c r="AT13" s="402">
        <f t="shared" si="17"/>
        <v>594.99</v>
      </c>
      <c r="AU13" s="175"/>
      <c r="AV13" s="12">
        <v>0</v>
      </c>
      <c r="AW13" s="13"/>
      <c r="AX13" s="487">
        <f t="shared" si="12"/>
        <v>0.99</v>
      </c>
      <c r="AY13" s="440">
        <f t="shared" si="13"/>
        <v>9.9999999999999846E-3</v>
      </c>
      <c r="AZ13" s="289">
        <f t="shared" si="14"/>
        <v>0</v>
      </c>
      <c r="BA13" s="440">
        <f t="shared" si="15"/>
        <v>0.105</v>
      </c>
      <c r="BB13" s="470">
        <v>0.1</v>
      </c>
      <c r="BC13" s="470">
        <v>0.6</v>
      </c>
      <c r="BD13" s="471">
        <v>0.7</v>
      </c>
      <c r="BE13" s="440">
        <f t="shared" si="3"/>
        <v>3.9950000000000001</v>
      </c>
      <c r="BF13" s="470">
        <v>4</v>
      </c>
      <c r="BG13" s="470">
        <v>3.5</v>
      </c>
      <c r="BH13" s="471">
        <v>3</v>
      </c>
      <c r="BI13" s="507"/>
    </row>
    <row r="14" spans="1:61">
      <c r="A14" s="209">
        <v>1999</v>
      </c>
      <c r="B14" s="248">
        <v>13942.125</v>
      </c>
      <c r="C14" s="289">
        <v>0.45795855669800944</v>
      </c>
      <c r="D14" s="327">
        <v>1003846.4570852942</v>
      </c>
      <c r="E14" s="206"/>
      <c r="F14" s="461">
        <v>18081.600000000002</v>
      </c>
      <c r="G14" s="461">
        <v>58515.100000000006</v>
      </c>
      <c r="H14" s="327">
        <v>76596.700000000012</v>
      </c>
      <c r="I14" s="462"/>
      <c r="J14" s="207">
        <f t="shared" si="4"/>
        <v>13.106</v>
      </c>
      <c r="K14" s="208"/>
      <c r="L14" s="327">
        <v>1318.3999999999999</v>
      </c>
      <c r="M14" s="462"/>
      <c r="N14" s="327">
        <v>1753.1</v>
      </c>
      <c r="O14" s="462"/>
      <c r="P14" s="472">
        <f t="shared" ref="P14:S16" si="18">ROUND((P$17/P$13)^(1/4)*P13,3)</f>
        <v>0.38700000000000001</v>
      </c>
      <c r="Q14" s="329">
        <f t="shared" si="18"/>
        <v>2.2789999999999999</v>
      </c>
      <c r="R14" s="329">
        <f t="shared" si="18"/>
        <v>7.2709999999999999</v>
      </c>
      <c r="S14" s="406">
        <f t="shared" si="18"/>
        <v>5.39</v>
      </c>
      <c r="T14" s="328">
        <f t="shared" si="16"/>
        <v>2.0249999999999999</v>
      </c>
      <c r="U14" s="330"/>
      <c r="V14" s="328">
        <f t="shared" si="0"/>
        <v>6.5890000000000004</v>
      </c>
      <c r="W14" s="239"/>
      <c r="X14" s="204">
        <f t="shared" si="6"/>
        <v>1577.8</v>
      </c>
      <c r="Y14" s="193"/>
      <c r="Z14" s="204">
        <f t="shared" si="1"/>
        <v>659.2</v>
      </c>
      <c r="AA14" s="210"/>
      <c r="AB14" s="205">
        <f t="shared" si="7"/>
        <v>657.88160000000005</v>
      </c>
      <c r="AC14" s="210"/>
      <c r="AD14" s="175">
        <v>0</v>
      </c>
      <c r="AE14" s="405"/>
      <c r="AF14" s="17">
        <v>7</v>
      </c>
      <c r="AG14" s="405"/>
      <c r="AH14" s="174">
        <v>200</v>
      </c>
      <c r="AI14" s="405"/>
      <c r="AJ14" s="174">
        <f t="shared" si="8"/>
        <v>0</v>
      </c>
      <c r="AK14" s="405"/>
      <c r="AL14" s="18">
        <v>0</v>
      </c>
      <c r="AM14" s="193"/>
      <c r="AN14" s="204">
        <f t="shared" si="9"/>
        <v>155.1</v>
      </c>
      <c r="AO14" s="193"/>
      <c r="AP14" s="17">
        <f t="shared" si="2"/>
        <v>532.50044159999993</v>
      </c>
      <c r="AQ14" s="19"/>
      <c r="AR14" s="205">
        <f t="shared" si="10"/>
        <v>652.20000000000005</v>
      </c>
      <c r="AS14" s="19"/>
      <c r="AT14" s="402">
        <f>0.998*AR14</f>
        <v>650.89560000000006</v>
      </c>
      <c r="AU14" s="175"/>
      <c r="AV14" s="12">
        <v>0</v>
      </c>
      <c r="AW14" s="13"/>
      <c r="AX14" s="487">
        <f t="shared" si="12"/>
        <v>0.998</v>
      </c>
      <c r="AY14" s="440">
        <f t="shared" si="13"/>
        <v>1.9999999999999797E-3</v>
      </c>
      <c r="AZ14" s="289">
        <f t="shared" si="14"/>
        <v>0</v>
      </c>
      <c r="BA14" s="440">
        <f t="shared" si="15"/>
        <v>0.10099999999999999</v>
      </c>
      <c r="BB14" s="470">
        <v>0.1</v>
      </c>
      <c r="BC14" s="470">
        <v>0.6</v>
      </c>
      <c r="BD14" s="471">
        <v>0.7</v>
      </c>
      <c r="BE14" s="440">
        <f t="shared" si="3"/>
        <v>3.9990000000000001</v>
      </c>
      <c r="BF14" s="470">
        <v>4</v>
      </c>
      <c r="BG14" s="470">
        <v>3.5</v>
      </c>
      <c r="BH14" s="471">
        <v>3</v>
      </c>
      <c r="BI14" s="507"/>
    </row>
    <row r="15" spans="1:61">
      <c r="A15" s="388">
        <v>2000</v>
      </c>
      <c r="B15" s="248">
        <v>14167</v>
      </c>
      <c r="C15" s="289">
        <v>0.45553203968302852</v>
      </c>
      <c r="D15" s="327">
        <v>1071980.7256536186</v>
      </c>
      <c r="E15" s="206"/>
      <c r="F15" s="461">
        <v>18725.400000000001</v>
      </c>
      <c r="G15" s="461">
        <v>58905.499999999993</v>
      </c>
      <c r="H15" s="327">
        <v>77630.899999999994</v>
      </c>
      <c r="I15" s="462"/>
      <c r="J15" s="207">
        <f t="shared" si="4"/>
        <v>13.808999999999999</v>
      </c>
      <c r="K15" s="208"/>
      <c r="L15" s="327">
        <v>1418.1</v>
      </c>
      <c r="M15" s="462"/>
      <c r="N15" s="327">
        <v>2005.8999999999999</v>
      </c>
      <c r="O15" s="462"/>
      <c r="P15" s="472">
        <f t="shared" si="18"/>
        <v>0.46</v>
      </c>
      <c r="Q15" s="329">
        <f t="shared" si="18"/>
        <v>2.3660000000000001</v>
      </c>
      <c r="R15" s="329">
        <f t="shared" si="18"/>
        <v>8.5150000000000006</v>
      </c>
      <c r="S15" s="406">
        <f t="shared" si="18"/>
        <v>5.9029999999999996</v>
      </c>
      <c r="T15" s="328">
        <f t="shared" si="16"/>
        <v>2.1080000000000001</v>
      </c>
      <c r="U15" s="330"/>
      <c r="V15" s="328">
        <f t="shared" si="0"/>
        <v>7.3920000000000003</v>
      </c>
      <c r="W15" s="239"/>
      <c r="X15" s="204">
        <f t="shared" si="6"/>
        <v>1805.3</v>
      </c>
      <c r="Y15" s="193"/>
      <c r="Z15" s="204">
        <f t="shared" si="1"/>
        <v>709.1</v>
      </c>
      <c r="AA15" s="210"/>
      <c r="AB15" s="205">
        <f t="shared" si="7"/>
        <v>694.91800000000001</v>
      </c>
      <c r="AC15" s="210"/>
      <c r="AD15" s="175">
        <v>98</v>
      </c>
      <c r="AE15" s="405"/>
      <c r="AF15" s="17">
        <v>12</v>
      </c>
      <c r="AG15" s="405"/>
      <c r="AH15" s="174">
        <v>50</v>
      </c>
      <c r="AI15" s="405"/>
      <c r="AJ15" s="174">
        <f t="shared" si="8"/>
        <v>0</v>
      </c>
      <c r="AK15" s="405"/>
      <c r="AL15" s="18">
        <v>0</v>
      </c>
      <c r="AM15" s="193"/>
      <c r="AN15" s="204">
        <f t="shared" si="9"/>
        <v>163.6</v>
      </c>
      <c r="AO15" s="193"/>
      <c r="AP15" s="17">
        <f t="shared" si="2"/>
        <v>1176.9095519999998</v>
      </c>
      <c r="AQ15" s="287"/>
      <c r="AR15" s="205">
        <f t="shared" si="10"/>
        <v>697.1</v>
      </c>
      <c r="AS15" s="287"/>
      <c r="AT15" s="402">
        <f>0.98*AR15</f>
        <v>683.15800000000002</v>
      </c>
      <c r="AU15" s="175"/>
      <c r="AV15" s="12">
        <v>0</v>
      </c>
      <c r="AW15" s="13"/>
      <c r="AX15" s="487">
        <f>1-AY15-AZ15</f>
        <v>0.98</v>
      </c>
      <c r="AY15" s="440">
        <f>(AR15-AT15-AV15)/AR15</f>
        <v>2.0000000000000011E-2</v>
      </c>
      <c r="AZ15" s="289">
        <f t="shared" si="14"/>
        <v>0</v>
      </c>
      <c r="BA15" s="440">
        <f t="shared" si="15"/>
        <v>0.20800000000000002</v>
      </c>
      <c r="BB15" s="470">
        <v>0.2</v>
      </c>
      <c r="BC15" s="470">
        <v>0.6</v>
      </c>
      <c r="BD15" s="471">
        <v>0.7</v>
      </c>
      <c r="BE15" s="440">
        <f t="shared" si="3"/>
        <v>3.9899999999999998</v>
      </c>
      <c r="BF15" s="470">
        <v>4</v>
      </c>
      <c r="BG15" s="470">
        <v>3.5</v>
      </c>
      <c r="BH15" s="471">
        <v>3</v>
      </c>
      <c r="BI15" s="507"/>
    </row>
    <row r="16" spans="1:61">
      <c r="A16" s="209">
        <v>2001</v>
      </c>
      <c r="B16" s="248">
        <v>14804.416666666666</v>
      </c>
      <c r="C16" s="289">
        <v>0.45913684229514168</v>
      </c>
      <c r="D16" s="327">
        <v>1145892.7363248679</v>
      </c>
      <c r="E16" s="206"/>
      <c r="F16" s="461">
        <v>19299.099999999999</v>
      </c>
      <c r="G16" s="461">
        <v>59321.4</v>
      </c>
      <c r="H16" s="327">
        <v>78620.5</v>
      </c>
      <c r="I16" s="462"/>
      <c r="J16" s="207">
        <f t="shared" si="4"/>
        <v>14.574999999999999</v>
      </c>
      <c r="K16" s="208"/>
      <c r="L16" s="327">
        <v>1515.3000000000002</v>
      </c>
      <c r="M16" s="462"/>
      <c r="N16" s="327">
        <v>2161.6999999999998</v>
      </c>
      <c r="O16" s="462"/>
      <c r="P16" s="472">
        <f t="shared" si="18"/>
        <v>0.54600000000000004</v>
      </c>
      <c r="Q16" s="329">
        <f t="shared" si="18"/>
        <v>2.456</v>
      </c>
      <c r="R16" s="329">
        <f t="shared" si="18"/>
        <v>9.9710000000000001</v>
      </c>
      <c r="S16" s="406">
        <f t="shared" si="18"/>
        <v>6.4640000000000004</v>
      </c>
      <c r="T16" s="328">
        <f t="shared" si="16"/>
        <v>2.1989999999999998</v>
      </c>
      <c r="U16" s="330"/>
      <c r="V16" s="328">
        <f t="shared" si="0"/>
        <v>8.3019999999999996</v>
      </c>
      <c r="W16" s="239"/>
      <c r="X16" s="204">
        <f t="shared" si="6"/>
        <v>1945.5</v>
      </c>
      <c r="Y16" s="193"/>
      <c r="Z16" s="204">
        <f t="shared" si="1"/>
        <v>757.7</v>
      </c>
      <c r="AA16" s="210"/>
      <c r="AB16" s="205">
        <f t="shared" si="7"/>
        <v>719.81500000000005</v>
      </c>
      <c r="AC16" s="210"/>
      <c r="AD16" s="175">
        <v>17</v>
      </c>
      <c r="AE16" s="405"/>
      <c r="AF16" s="17">
        <v>30</v>
      </c>
      <c r="AG16" s="405"/>
      <c r="AH16" s="174">
        <v>122</v>
      </c>
      <c r="AI16" s="405"/>
      <c r="AJ16" s="174">
        <f t="shared" si="8"/>
        <v>0</v>
      </c>
      <c r="AK16" s="405"/>
      <c r="AL16" s="18">
        <v>1</v>
      </c>
      <c r="AM16" s="193"/>
      <c r="AN16" s="204">
        <f t="shared" si="9"/>
        <v>172.9</v>
      </c>
      <c r="AO16" s="193"/>
      <c r="AP16" s="17">
        <f t="shared" si="2"/>
        <v>1325.1298500000005</v>
      </c>
      <c r="AQ16" s="288"/>
      <c r="AR16" s="205">
        <f t="shared" si="10"/>
        <v>728.7</v>
      </c>
      <c r="AS16" s="288"/>
      <c r="AT16" s="402">
        <f>0.95*AR16</f>
        <v>692.26499999999999</v>
      </c>
      <c r="AU16" s="175"/>
      <c r="AV16" s="12">
        <v>0</v>
      </c>
      <c r="AW16" s="13"/>
      <c r="AX16" s="487">
        <f t="shared" si="12"/>
        <v>0.95</v>
      </c>
      <c r="AY16" s="440">
        <f t="shared" si="13"/>
        <v>5.0000000000000079E-2</v>
      </c>
      <c r="AZ16" s="289">
        <f t="shared" si="14"/>
        <v>0</v>
      </c>
      <c r="BA16" s="440">
        <f t="shared" si="15"/>
        <v>0.22000000000000006</v>
      </c>
      <c r="BB16" s="470">
        <v>0.2</v>
      </c>
      <c r="BC16" s="470">
        <v>0.6</v>
      </c>
      <c r="BD16" s="471">
        <v>0.7</v>
      </c>
      <c r="BE16" s="440">
        <f t="shared" si="3"/>
        <v>3.9750000000000001</v>
      </c>
      <c r="BF16" s="470">
        <v>4</v>
      </c>
      <c r="BG16" s="470">
        <v>3.5</v>
      </c>
      <c r="BH16" s="471">
        <v>3</v>
      </c>
      <c r="BI16" s="507"/>
    </row>
    <row r="17" spans="1:61">
      <c r="A17" s="209">
        <v>2002</v>
      </c>
      <c r="B17" s="248">
        <v>15278.791666666666</v>
      </c>
      <c r="C17" s="289">
        <v>0.47732422530756097</v>
      </c>
      <c r="D17" s="327">
        <v>1227023.986789806</v>
      </c>
      <c r="E17" s="206"/>
      <c r="F17" s="461">
        <v>19873.2</v>
      </c>
      <c r="G17" s="461">
        <v>59664.5</v>
      </c>
      <c r="H17" s="327">
        <v>79537.7</v>
      </c>
      <c r="I17" s="462"/>
      <c r="J17" s="207">
        <f t="shared" si="4"/>
        <v>15.427</v>
      </c>
      <c r="K17" s="208"/>
      <c r="L17" s="327">
        <v>1653.5999999999997</v>
      </c>
      <c r="M17" s="462"/>
      <c r="N17" s="327">
        <v>2511.1999999999998</v>
      </c>
      <c r="O17" s="462"/>
      <c r="P17" s="365">
        <v>0.64800000000000002</v>
      </c>
      <c r="Q17" s="366">
        <v>2.5499999999999998</v>
      </c>
      <c r="R17" s="366">
        <v>11.676</v>
      </c>
      <c r="S17" s="243">
        <v>7.0789999999999997</v>
      </c>
      <c r="T17" s="240">
        <f t="shared" si="16"/>
        <v>2.298</v>
      </c>
      <c r="U17" s="241"/>
      <c r="V17" s="240">
        <f t="shared" si="0"/>
        <v>9.3420000000000005</v>
      </c>
      <c r="W17" s="241"/>
      <c r="X17" s="204">
        <f t="shared" si="6"/>
        <v>2260.1</v>
      </c>
      <c r="Y17" s="193"/>
      <c r="Z17" s="204">
        <f t="shared" si="1"/>
        <v>826.8</v>
      </c>
      <c r="AA17" s="210"/>
      <c r="AB17" s="205">
        <f t="shared" si="7"/>
        <v>785.45999999999992</v>
      </c>
      <c r="AC17" s="210"/>
      <c r="AD17" s="175">
        <v>1</v>
      </c>
      <c r="AE17" s="405"/>
      <c r="AF17" s="17">
        <v>17</v>
      </c>
      <c r="AG17" s="405"/>
      <c r="AH17" s="174">
        <v>311</v>
      </c>
      <c r="AI17" s="405"/>
      <c r="AJ17" s="174">
        <f t="shared" si="8"/>
        <v>0</v>
      </c>
      <c r="AK17" s="405"/>
      <c r="AL17" s="18">
        <v>0</v>
      </c>
      <c r="AM17" s="193"/>
      <c r="AN17" s="204">
        <f t="shared" si="9"/>
        <v>182.8</v>
      </c>
      <c r="AO17" s="193"/>
      <c r="AP17" s="17">
        <f t="shared" si="2"/>
        <v>1446.0731999999996</v>
      </c>
      <c r="AQ17" s="288"/>
      <c r="AR17" s="205">
        <f t="shared" si="10"/>
        <v>809.8</v>
      </c>
      <c r="AS17" s="288"/>
      <c r="AT17" s="402">
        <f t="shared" ref="AT17:AT20" si="19">0.95*AR17</f>
        <v>769.31</v>
      </c>
      <c r="AU17" s="175"/>
      <c r="AV17" s="12">
        <v>0</v>
      </c>
      <c r="AW17" s="13"/>
      <c r="AX17" s="487">
        <f t="shared" si="12"/>
        <v>0.95</v>
      </c>
      <c r="AY17" s="440">
        <f t="shared" si="13"/>
        <v>5.0000000000000017E-2</v>
      </c>
      <c r="AZ17" s="289">
        <f t="shared" si="14"/>
        <v>0</v>
      </c>
      <c r="BA17" s="440">
        <f t="shared" si="15"/>
        <v>0.22</v>
      </c>
      <c r="BB17" s="470">
        <v>0.2</v>
      </c>
      <c r="BC17" s="470">
        <v>0.6</v>
      </c>
      <c r="BD17" s="471">
        <v>0.7</v>
      </c>
      <c r="BE17" s="440">
        <f t="shared" si="3"/>
        <v>3.9749999999999996</v>
      </c>
      <c r="BF17" s="470">
        <v>4</v>
      </c>
      <c r="BG17" s="470">
        <v>3.5</v>
      </c>
      <c r="BH17" s="471">
        <v>3</v>
      </c>
      <c r="BI17" s="507"/>
    </row>
    <row r="18" spans="1:61">
      <c r="A18" s="209">
        <v>2003</v>
      </c>
      <c r="B18" s="248">
        <v>15474.424244929452</v>
      </c>
      <c r="C18" s="289">
        <v>0.49168525820914133</v>
      </c>
      <c r="D18" s="327">
        <v>1317098.0068960849</v>
      </c>
      <c r="E18" s="206"/>
      <c r="F18" s="461">
        <v>20725</v>
      </c>
      <c r="G18" s="461">
        <v>59742.399999999994</v>
      </c>
      <c r="H18" s="327">
        <v>80467.399999999994</v>
      </c>
      <c r="I18" s="462"/>
      <c r="J18" s="207">
        <f t="shared" si="4"/>
        <v>16.367999999999999</v>
      </c>
      <c r="K18" s="208"/>
      <c r="L18" s="327">
        <v>1794.9999999999995</v>
      </c>
      <c r="M18" s="462"/>
      <c r="N18" s="327">
        <v>3136.3</v>
      </c>
      <c r="O18" s="462"/>
      <c r="P18" s="472">
        <f>ROUND((P19/P17)^(1/2)*P17,3)</f>
        <v>0.76100000000000001</v>
      </c>
      <c r="Q18" s="329">
        <f>ROUND((Q19/Q17)^(1/2)*Q17,3)</f>
        <v>2.4129999999999998</v>
      </c>
      <c r="R18" s="329">
        <f>ROUND((R19/R17)^(1/2)*R17,3)</f>
        <v>12.47</v>
      </c>
      <c r="S18" s="406">
        <f>ROUND((S19/S17)^(1/2)*S17,3)</f>
        <v>7.7430000000000003</v>
      </c>
      <c r="T18" s="328">
        <f t="shared" si="16"/>
        <v>2.206</v>
      </c>
      <c r="U18" s="330"/>
      <c r="V18" s="328">
        <f t="shared" si="0"/>
        <v>10.178000000000001</v>
      </c>
      <c r="W18" s="239"/>
      <c r="X18" s="204">
        <f t="shared" si="6"/>
        <v>2822.7</v>
      </c>
      <c r="Y18" s="193"/>
      <c r="Z18" s="204">
        <f t="shared" si="1"/>
        <v>897.5</v>
      </c>
      <c r="AA18" s="210"/>
      <c r="AB18" s="205">
        <f t="shared" si="7"/>
        <v>852.625</v>
      </c>
      <c r="AC18" s="210"/>
      <c r="AD18" s="175">
        <v>43</v>
      </c>
      <c r="AE18" s="405"/>
      <c r="AF18" s="17">
        <v>12</v>
      </c>
      <c r="AG18" s="405"/>
      <c r="AH18" s="174">
        <v>204</v>
      </c>
      <c r="AI18" s="405"/>
      <c r="AJ18" s="174">
        <f t="shared" si="8"/>
        <v>0</v>
      </c>
      <c r="AK18" s="405"/>
      <c r="AL18" s="18">
        <v>0</v>
      </c>
      <c r="AM18" s="193"/>
      <c r="AN18" s="204">
        <f t="shared" si="9"/>
        <v>177.5</v>
      </c>
      <c r="AO18" s="193"/>
      <c r="AP18" s="17">
        <f t="shared" si="2"/>
        <v>1569.7275</v>
      </c>
      <c r="AQ18" s="288"/>
      <c r="AR18" s="205">
        <f t="shared" si="10"/>
        <v>885.5</v>
      </c>
      <c r="AS18" s="288"/>
      <c r="AT18" s="402">
        <f t="shared" si="19"/>
        <v>841.22499999999991</v>
      </c>
      <c r="AU18" s="175"/>
      <c r="AV18" s="12">
        <v>0</v>
      </c>
      <c r="AW18" s="13"/>
      <c r="AX18" s="487">
        <f t="shared" si="12"/>
        <v>0.95</v>
      </c>
      <c r="AY18" s="440">
        <f t="shared" si="13"/>
        <v>5.00000000000001E-2</v>
      </c>
      <c r="AZ18" s="289">
        <f t="shared" si="14"/>
        <v>0</v>
      </c>
      <c r="BA18" s="440">
        <f t="shared" si="15"/>
        <v>0.22000000000000006</v>
      </c>
      <c r="BB18" s="470">
        <v>0.2</v>
      </c>
      <c r="BC18" s="470">
        <v>0.6</v>
      </c>
      <c r="BD18" s="471">
        <v>0.7</v>
      </c>
      <c r="BE18" s="440">
        <f t="shared" si="3"/>
        <v>3.9750000000000001</v>
      </c>
      <c r="BF18" s="470">
        <v>4</v>
      </c>
      <c r="BG18" s="470">
        <v>3.5</v>
      </c>
      <c r="BH18" s="471">
        <v>3</v>
      </c>
      <c r="BI18" s="507"/>
    </row>
    <row r="19" spans="1:61">
      <c r="A19" s="209">
        <v>2004</v>
      </c>
      <c r="B19" s="248">
        <v>15643.195388737136</v>
      </c>
      <c r="C19" s="289">
        <v>0.53839098490359949</v>
      </c>
      <c r="D19" s="327">
        <v>1419698.9553041635</v>
      </c>
      <c r="E19" s="206"/>
      <c r="F19" s="461">
        <v>21601.199999999997</v>
      </c>
      <c r="G19" s="461">
        <v>59835.199999999997</v>
      </c>
      <c r="H19" s="327">
        <v>81436.399999999994</v>
      </c>
      <c r="I19" s="462"/>
      <c r="J19" s="207">
        <f t="shared" si="4"/>
        <v>17.433</v>
      </c>
      <c r="K19" s="208"/>
      <c r="L19" s="327">
        <v>2012</v>
      </c>
      <c r="M19" s="462"/>
      <c r="N19" s="327">
        <v>3430.9</v>
      </c>
      <c r="O19" s="462"/>
      <c r="P19" s="365">
        <v>0.89400000000000002</v>
      </c>
      <c r="Q19" s="366">
        <v>2.2839999999999998</v>
      </c>
      <c r="R19" s="366">
        <v>13.317</v>
      </c>
      <c r="S19" s="243">
        <v>8.4700000000000006</v>
      </c>
      <c r="T19" s="240">
        <f t="shared" si="16"/>
        <v>2.1309999999999998</v>
      </c>
      <c r="U19" s="241"/>
      <c r="V19" s="240">
        <f t="shared" si="0"/>
        <v>11.084</v>
      </c>
      <c r="W19" s="241"/>
      <c r="X19" s="204">
        <f t="shared" si="6"/>
        <v>3087.8</v>
      </c>
      <c r="Y19" s="193"/>
      <c r="Z19" s="204">
        <f t="shared" si="1"/>
        <v>1006</v>
      </c>
      <c r="AA19" s="210"/>
      <c r="AB19" s="205">
        <f t="shared" si="7"/>
        <v>955.69999999999993</v>
      </c>
      <c r="AC19" s="210"/>
      <c r="AD19" s="175">
        <v>41</v>
      </c>
      <c r="AE19" s="405"/>
      <c r="AF19" s="17">
        <v>25</v>
      </c>
      <c r="AG19" s="405"/>
      <c r="AH19" s="174">
        <v>206</v>
      </c>
      <c r="AI19" s="405"/>
      <c r="AJ19" s="174">
        <f t="shared" si="8"/>
        <v>0</v>
      </c>
      <c r="AK19" s="405"/>
      <c r="AL19" s="18">
        <v>0</v>
      </c>
      <c r="AM19" s="193"/>
      <c r="AN19" s="204">
        <f t="shared" si="9"/>
        <v>173.5</v>
      </c>
      <c r="AO19" s="193"/>
      <c r="AP19" s="17">
        <f t="shared" si="2"/>
        <v>1759.4940000000001</v>
      </c>
      <c r="AQ19" s="288"/>
      <c r="AR19" s="205">
        <f t="shared" si="10"/>
        <v>981</v>
      </c>
      <c r="AS19" s="288"/>
      <c r="AT19" s="402">
        <f t="shared" si="19"/>
        <v>931.94999999999993</v>
      </c>
      <c r="AU19" s="175"/>
      <c r="AV19" s="12">
        <v>0</v>
      </c>
      <c r="AW19" s="13"/>
      <c r="AX19" s="487">
        <f t="shared" si="12"/>
        <v>0.95</v>
      </c>
      <c r="AY19" s="440">
        <f t="shared" si="13"/>
        <v>5.0000000000000072E-2</v>
      </c>
      <c r="AZ19" s="289">
        <f t="shared" si="14"/>
        <v>0</v>
      </c>
      <c r="BA19" s="440">
        <f t="shared" si="15"/>
        <v>0.22000000000000003</v>
      </c>
      <c r="BB19" s="470">
        <v>0.2</v>
      </c>
      <c r="BC19" s="470">
        <v>0.6</v>
      </c>
      <c r="BD19" s="471">
        <v>0.7</v>
      </c>
      <c r="BE19" s="440">
        <f t="shared" si="3"/>
        <v>3.9750000000000001</v>
      </c>
      <c r="BF19" s="470">
        <v>4</v>
      </c>
      <c r="BG19" s="470">
        <v>3.5</v>
      </c>
      <c r="BH19" s="471">
        <v>3</v>
      </c>
      <c r="BI19" s="507"/>
    </row>
    <row r="20" spans="1:61">
      <c r="A20" s="209">
        <v>2005</v>
      </c>
      <c r="B20" s="248">
        <v>15734.610265735004</v>
      </c>
      <c r="C20" s="289">
        <v>0.58361582763550179</v>
      </c>
      <c r="D20" s="327">
        <v>1588646</v>
      </c>
      <c r="E20" s="211"/>
      <c r="F20" s="461">
        <v>22332</v>
      </c>
      <c r="G20" s="461">
        <v>60060.100000000006</v>
      </c>
      <c r="H20" s="327">
        <v>82392.100000000006</v>
      </c>
      <c r="I20" s="462"/>
      <c r="J20" s="207">
        <f t="shared" si="4"/>
        <v>19.282</v>
      </c>
      <c r="K20" s="208"/>
      <c r="L20" s="327">
        <v>2288.2999999999997</v>
      </c>
      <c r="M20" s="462"/>
      <c r="N20" s="327">
        <v>3787.0999999999995</v>
      </c>
      <c r="O20" s="462"/>
      <c r="P20" s="472">
        <f>ROUND((P21/P19)^(1/2)*P19,3)</f>
        <v>0.91400000000000003</v>
      </c>
      <c r="Q20" s="329">
        <f>ROUND((Q21/Q19)^(1/2)*Q19,3)</f>
        <v>2.2149999999999999</v>
      </c>
      <c r="R20" s="329">
        <f>ROUND((R21/R19)^(1/2)*R19,3)</f>
        <v>13.869</v>
      </c>
      <c r="S20" s="406">
        <f>ROUND((S21/S19)^(1/2)*S19,3)</f>
        <v>9.1609999999999996</v>
      </c>
      <c r="T20" s="328">
        <f t="shared" si="16"/>
        <v>2.073</v>
      </c>
      <c r="U20" s="330"/>
      <c r="V20" s="328">
        <f t="shared" si="0"/>
        <v>11.856999999999999</v>
      </c>
      <c r="W20" s="239"/>
      <c r="X20" s="204">
        <f t="shared" si="6"/>
        <v>3408.4</v>
      </c>
      <c r="Y20" s="193"/>
      <c r="Z20" s="204">
        <f t="shared" si="1"/>
        <v>1144.2</v>
      </c>
      <c r="AA20" s="210"/>
      <c r="AB20" s="205">
        <f t="shared" si="7"/>
        <v>1086.9899999999998</v>
      </c>
      <c r="AC20" s="210"/>
      <c r="AD20" s="175">
        <v>1</v>
      </c>
      <c r="AE20" s="405"/>
      <c r="AF20" s="17">
        <v>22</v>
      </c>
      <c r="AG20" s="405"/>
      <c r="AH20" s="174">
        <v>475</v>
      </c>
      <c r="AI20" s="405"/>
      <c r="AJ20" s="174">
        <f t="shared" si="8"/>
        <v>0</v>
      </c>
      <c r="AK20" s="405"/>
      <c r="AL20" s="18">
        <v>0</v>
      </c>
      <c r="AM20" s="193"/>
      <c r="AN20" s="204">
        <f t="shared" si="9"/>
        <v>170.8</v>
      </c>
      <c r="AO20" s="193"/>
      <c r="AP20" s="17">
        <f t="shared" si="2"/>
        <v>2001.11835</v>
      </c>
      <c r="AQ20" s="288"/>
      <c r="AR20" s="205">
        <f>Z20-AF20+AL20</f>
        <v>1122.2</v>
      </c>
      <c r="AS20" s="288"/>
      <c r="AT20" s="402">
        <f t="shared" si="19"/>
        <v>1066.0899999999999</v>
      </c>
      <c r="AU20" s="175"/>
      <c r="AV20" s="12">
        <v>0</v>
      </c>
      <c r="AW20" s="13"/>
      <c r="AX20" s="487">
        <f t="shared" si="12"/>
        <v>0.94999999999999984</v>
      </c>
      <c r="AY20" s="440">
        <f>(AR20-AT20-AV20)/AR20</f>
        <v>5.0000000000000114E-2</v>
      </c>
      <c r="AZ20" s="289">
        <f>AV20/AR20</f>
        <v>0</v>
      </c>
      <c r="BA20" s="440">
        <f t="shared" si="15"/>
        <v>0.22000000000000003</v>
      </c>
      <c r="BB20" s="470">
        <v>0.2</v>
      </c>
      <c r="BC20" s="470">
        <v>0.6</v>
      </c>
      <c r="BD20" s="471">
        <v>0.7</v>
      </c>
      <c r="BE20" s="440">
        <f t="shared" si="3"/>
        <v>3.9749999999999996</v>
      </c>
      <c r="BF20" s="470">
        <v>4</v>
      </c>
      <c r="BG20" s="470">
        <v>3.5</v>
      </c>
      <c r="BH20" s="471">
        <v>3</v>
      </c>
      <c r="BI20" s="507"/>
    </row>
    <row r="21" spans="1:61">
      <c r="A21" s="209">
        <v>2006</v>
      </c>
      <c r="B21" s="248">
        <v>15888.333485966758</v>
      </c>
      <c r="C21" s="289">
        <v>0.62213447225944496</v>
      </c>
      <c r="D21" s="327">
        <v>1699501</v>
      </c>
      <c r="E21" s="211"/>
      <c r="F21" s="461">
        <v>23045.8</v>
      </c>
      <c r="G21" s="461">
        <v>60265.4</v>
      </c>
      <c r="H21" s="327">
        <v>83311.199999999997</v>
      </c>
      <c r="I21" s="462"/>
      <c r="J21" s="207">
        <f t="shared" si="4"/>
        <v>20.399000000000001</v>
      </c>
      <c r="K21" s="208"/>
      <c r="L21" s="327">
        <v>2504.9999999999995</v>
      </c>
      <c r="M21" s="462"/>
      <c r="N21" s="327">
        <v>3854.6</v>
      </c>
      <c r="O21" s="462"/>
      <c r="P21" s="365">
        <v>0.93400000000000005</v>
      </c>
      <c r="Q21" s="366">
        <v>2.1480000000000001</v>
      </c>
      <c r="R21" s="366">
        <v>14.444000000000001</v>
      </c>
      <c r="S21" s="243">
        <v>9.9079999999999995</v>
      </c>
      <c r="T21" s="240">
        <f t="shared" si="16"/>
        <v>2.0190000000000001</v>
      </c>
      <c r="U21" s="241"/>
      <c r="V21" s="240">
        <f t="shared" si="0"/>
        <v>12.679</v>
      </c>
      <c r="W21" s="241"/>
      <c r="X21" s="204">
        <f t="shared" si="6"/>
        <v>3469.1</v>
      </c>
      <c r="Y21" s="193"/>
      <c r="Z21" s="204">
        <f t="shared" si="1"/>
        <v>1252.5</v>
      </c>
      <c r="AA21" s="210"/>
      <c r="AB21" s="205">
        <f t="shared" si="7"/>
        <v>1077.5295454545453</v>
      </c>
      <c r="AC21" s="210"/>
      <c r="AD21" s="175">
        <v>1</v>
      </c>
      <c r="AE21" s="405"/>
      <c r="AF21" s="17">
        <v>15</v>
      </c>
      <c r="AG21" s="405"/>
      <c r="AH21" s="174">
        <v>650</v>
      </c>
      <c r="AI21" s="405"/>
      <c r="AJ21" s="174">
        <f t="shared" si="8"/>
        <v>0</v>
      </c>
      <c r="AK21" s="405"/>
      <c r="AL21" s="18">
        <v>0</v>
      </c>
      <c r="AM21" s="193"/>
      <c r="AN21" s="204">
        <f t="shared" si="9"/>
        <v>168.2</v>
      </c>
      <c r="AO21" s="193"/>
      <c r="AP21" s="17">
        <f t="shared" si="2"/>
        <v>2530.4196013125184</v>
      </c>
      <c r="AQ21" s="288"/>
      <c r="AR21" s="205">
        <f>Z21-AF21+AL21</f>
        <v>1237.5</v>
      </c>
      <c r="AS21" s="288"/>
      <c r="AT21" s="402">
        <f t="shared" ref="AT21:AT24" si="20">0.85*Z21</f>
        <v>1064.625</v>
      </c>
      <c r="AU21" s="175"/>
      <c r="AV21" s="18">
        <f>ROUND(0.02*V21*H21*0.001,1)</f>
        <v>21.1</v>
      </c>
      <c r="AW21" s="13"/>
      <c r="AX21" s="487">
        <f t="shared" si="12"/>
        <v>0.86030303030303024</v>
      </c>
      <c r="AY21" s="440">
        <f t="shared" si="13"/>
        <v>0.12264646464646466</v>
      </c>
      <c r="AZ21" s="289">
        <f t="shared" si="14"/>
        <v>1.7050505050505052E-2</v>
      </c>
      <c r="BA21" s="440">
        <f t="shared" si="15"/>
        <v>0.25758383838383836</v>
      </c>
      <c r="BB21" s="470">
        <v>0.2</v>
      </c>
      <c r="BC21" s="470">
        <v>0.6</v>
      </c>
      <c r="BD21" s="471">
        <v>0.7</v>
      </c>
      <c r="BE21" s="440">
        <f t="shared" si="3"/>
        <v>3.9216262626262623</v>
      </c>
      <c r="BF21" s="470">
        <v>4</v>
      </c>
      <c r="BG21" s="470">
        <v>3.5</v>
      </c>
      <c r="BH21" s="471">
        <v>3</v>
      </c>
      <c r="BI21" s="507"/>
    </row>
    <row r="22" spans="1:61">
      <c r="A22" s="209">
        <v>2007</v>
      </c>
      <c r="B22" s="248">
        <v>15983.394521129392</v>
      </c>
      <c r="C22" s="289">
        <v>0.70071005610581294</v>
      </c>
      <c r="D22" s="327">
        <v>1820667</v>
      </c>
      <c r="E22" s="211"/>
      <c r="F22" s="461">
        <v>23746.3</v>
      </c>
      <c r="G22" s="461">
        <v>60472.19999999999</v>
      </c>
      <c r="H22" s="327">
        <v>84218.499999999985</v>
      </c>
      <c r="I22" s="462"/>
      <c r="J22" s="207">
        <f t="shared" si="4"/>
        <v>21.617999999999999</v>
      </c>
      <c r="K22" s="208"/>
      <c r="L22" s="327">
        <v>2662.7000000000003</v>
      </c>
      <c r="M22" s="462"/>
      <c r="N22" s="327">
        <v>4303.2000000000007</v>
      </c>
      <c r="O22" s="462"/>
      <c r="P22" s="472">
        <f>ROUND((P23/P21)^(1/2)*P21,3)</f>
        <v>0.93</v>
      </c>
      <c r="Q22" s="329">
        <f>ROUND((Q23/Q21)^(1/2)*Q21,3)</f>
        <v>2.0369999999999999</v>
      </c>
      <c r="R22" s="329">
        <f>ROUND((R23/R21)^(1/2)*R21,3)</f>
        <v>13.529</v>
      </c>
      <c r="S22" s="406">
        <f>ROUND((S23/S21)^(1/2)*S21,3)</f>
        <v>8.968</v>
      </c>
      <c r="T22" s="328">
        <f t="shared" si="16"/>
        <v>1.9239999999999999</v>
      </c>
      <c r="U22" s="330"/>
      <c r="V22" s="328">
        <f t="shared" si="0"/>
        <v>11.661</v>
      </c>
      <c r="W22" s="239"/>
      <c r="X22" s="204">
        <f t="shared" si="6"/>
        <v>3872.9</v>
      </c>
      <c r="Y22" s="193"/>
      <c r="Z22" s="204">
        <f t="shared" si="1"/>
        <v>1331.4</v>
      </c>
      <c r="AA22" s="210"/>
      <c r="AB22" s="205">
        <f t="shared" si="7"/>
        <v>1155.1150459981602</v>
      </c>
      <c r="AC22" s="210"/>
      <c r="AD22" s="175">
        <v>1</v>
      </c>
      <c r="AE22" s="405"/>
      <c r="AF22" s="17">
        <v>27</v>
      </c>
      <c r="AG22" s="405"/>
      <c r="AH22" s="174">
        <v>500</v>
      </c>
      <c r="AI22" s="405"/>
      <c r="AJ22" s="174">
        <f t="shared" si="8"/>
        <v>0</v>
      </c>
      <c r="AK22" s="405"/>
      <c r="AL22" s="18">
        <v>0</v>
      </c>
      <c r="AM22" s="193"/>
      <c r="AN22" s="204">
        <f t="shared" si="9"/>
        <v>162</v>
      </c>
      <c r="AO22" s="193"/>
      <c r="AP22" s="17">
        <f t="shared" si="2"/>
        <v>2660.3074254187809</v>
      </c>
      <c r="AQ22" s="288"/>
      <c r="AR22" s="205">
        <f t="shared" si="10"/>
        <v>1304.4000000000001</v>
      </c>
      <c r="AS22" s="288"/>
      <c r="AT22" s="402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87">
        <f t="shared" si="12"/>
        <v>0.86759429622815087</v>
      </c>
      <c r="AY22" s="440">
        <f t="shared" si="13"/>
        <v>0.11737963814780744</v>
      </c>
      <c r="AZ22" s="289">
        <f t="shared" si="14"/>
        <v>1.5026065624041705E-2</v>
      </c>
      <c r="BA22" s="440">
        <f t="shared" si="15"/>
        <v>0.25446488807114387</v>
      </c>
      <c r="BB22" s="470">
        <v>0.2</v>
      </c>
      <c r="BC22" s="470">
        <v>0.6</v>
      </c>
      <c r="BD22" s="471">
        <v>0.7</v>
      </c>
      <c r="BE22" s="440">
        <f t="shared" si="3"/>
        <v>3.9262841153020545</v>
      </c>
      <c r="BF22" s="470">
        <v>4</v>
      </c>
      <c r="BG22" s="470">
        <v>3.5</v>
      </c>
      <c r="BH22" s="471">
        <v>3</v>
      </c>
      <c r="BI22" s="507"/>
    </row>
    <row r="23" spans="1:61">
      <c r="A23" s="209">
        <v>2008</v>
      </c>
      <c r="B23" s="248">
        <v>16365.316655421802</v>
      </c>
      <c r="C23" s="289">
        <v>0.84008128626525913</v>
      </c>
      <c r="D23" s="327">
        <v>1923749</v>
      </c>
      <c r="E23" s="211"/>
      <c r="F23" s="461">
        <v>24673.1</v>
      </c>
      <c r="G23" s="461">
        <v>60445.600000000006</v>
      </c>
      <c r="H23" s="327">
        <v>85118.700000000012</v>
      </c>
      <c r="I23" s="462"/>
      <c r="J23" s="207">
        <f t="shared" si="4"/>
        <v>22.600999999999999</v>
      </c>
      <c r="K23" s="208"/>
      <c r="L23" s="327">
        <v>2782.7999999999993</v>
      </c>
      <c r="M23" s="462"/>
      <c r="N23" s="327">
        <v>4573.1000000000004</v>
      </c>
      <c r="O23" s="462"/>
      <c r="P23" s="365">
        <v>0.92700000000000005</v>
      </c>
      <c r="Q23" s="366">
        <v>1.9319999999999999</v>
      </c>
      <c r="R23" s="366">
        <v>12.672000000000001</v>
      </c>
      <c r="S23" s="243">
        <v>8.1180000000000003</v>
      </c>
      <c r="T23" s="240">
        <f t="shared" si="16"/>
        <v>1.8320000000000001</v>
      </c>
      <c r="U23" s="241"/>
      <c r="V23" s="240">
        <f t="shared" si="0"/>
        <v>10.749000000000001</v>
      </c>
      <c r="W23" s="241"/>
      <c r="X23" s="204">
        <f t="shared" si="6"/>
        <v>4115.8</v>
      </c>
      <c r="Y23" s="193"/>
      <c r="Z23" s="204">
        <f t="shared" si="1"/>
        <v>1391.4</v>
      </c>
      <c r="AA23" s="210"/>
      <c r="AB23" s="205">
        <f t="shared" si="7"/>
        <v>1203.4480517770953</v>
      </c>
      <c r="AC23" s="210"/>
      <c r="AD23" s="175">
        <v>10</v>
      </c>
      <c r="AE23" s="405"/>
      <c r="AF23" s="17">
        <v>36</v>
      </c>
      <c r="AG23" s="405"/>
      <c r="AH23" s="174">
        <v>1100</v>
      </c>
      <c r="AI23" s="405"/>
      <c r="AJ23" s="174">
        <f t="shared" si="8"/>
        <v>0</v>
      </c>
      <c r="AK23" s="405"/>
      <c r="AL23" s="18">
        <v>12</v>
      </c>
      <c r="AM23" s="193"/>
      <c r="AN23" s="204">
        <f t="shared" si="9"/>
        <v>155.9</v>
      </c>
      <c r="AO23" s="193"/>
      <c r="AP23" s="17">
        <f t="shared" si="2"/>
        <v>2789.8304454783843</v>
      </c>
      <c r="AQ23" s="288"/>
      <c r="AR23" s="205">
        <f t="shared" si="10"/>
        <v>1367.4</v>
      </c>
      <c r="AS23" s="288"/>
      <c r="AT23" s="402">
        <f t="shared" si="20"/>
        <v>1182.69</v>
      </c>
      <c r="AU23" s="175"/>
      <c r="AV23" s="18">
        <f t="shared" si="21"/>
        <v>18.3</v>
      </c>
      <c r="AW23" s="13"/>
      <c r="AX23" s="487">
        <f t="shared" si="12"/>
        <v>0.86491882404563403</v>
      </c>
      <c r="AY23" s="440">
        <f t="shared" si="13"/>
        <v>0.12169811320754718</v>
      </c>
      <c r="AZ23" s="289">
        <f t="shared" si="14"/>
        <v>1.338306274681878E-2</v>
      </c>
      <c r="BA23" s="440">
        <f t="shared" si="15"/>
        <v>0.25537077665642827</v>
      </c>
      <c r="BB23" s="470">
        <v>0.2</v>
      </c>
      <c r="BC23" s="470">
        <v>0.6</v>
      </c>
      <c r="BD23" s="471">
        <v>0.7</v>
      </c>
      <c r="BE23" s="440">
        <f t="shared" si="3"/>
        <v>3.9257678806494076</v>
      </c>
      <c r="BF23" s="470">
        <v>4</v>
      </c>
      <c r="BG23" s="470">
        <v>3.5</v>
      </c>
      <c r="BH23" s="471">
        <v>3</v>
      </c>
      <c r="BI23" s="507"/>
    </row>
    <row r="24" spans="1:61">
      <c r="A24" s="209">
        <v>2009</v>
      </c>
      <c r="B24" s="248">
        <v>17865.439503376398</v>
      </c>
      <c r="C24" s="289">
        <v>0.89485458612975399</v>
      </c>
      <c r="D24" s="327">
        <v>2027591</v>
      </c>
      <c r="E24" s="211"/>
      <c r="F24" s="461">
        <v>25584.7</v>
      </c>
      <c r="G24" s="461">
        <v>60440.299999999996</v>
      </c>
      <c r="H24" s="327">
        <v>86025</v>
      </c>
      <c r="I24" s="462"/>
      <c r="J24" s="207">
        <f t="shared" si="4"/>
        <v>23.57</v>
      </c>
      <c r="K24" s="208"/>
      <c r="L24" s="327">
        <v>3035.8999999999996</v>
      </c>
      <c r="M24" s="462"/>
      <c r="N24" s="327">
        <v>4371.7</v>
      </c>
      <c r="O24" s="462"/>
      <c r="P24" s="472">
        <f>ROUND((P25/P23)^(1/2)*P23,3)</f>
        <v>1.1459999999999999</v>
      </c>
      <c r="Q24" s="329">
        <f>ROUND((Q25/Q23)^(1/2)*Q23,3)</f>
        <v>2.1970000000000001</v>
      </c>
      <c r="R24" s="329">
        <f>ROUND((R25/R23)^(1/2)*R23,3)</f>
        <v>12.837</v>
      </c>
      <c r="S24" s="406">
        <f>ROUND((S25/S23)^(1/2)*S23,3)</f>
        <v>9.4019999999999992</v>
      </c>
      <c r="T24" s="328">
        <f t="shared" si="16"/>
        <v>2.1070000000000002</v>
      </c>
      <c r="U24" s="330"/>
      <c r="V24" s="328">
        <f t="shared" si="0"/>
        <v>11.848000000000001</v>
      </c>
      <c r="W24" s="239"/>
      <c r="X24" s="204">
        <f t="shared" si="6"/>
        <v>3934.5</v>
      </c>
      <c r="Y24" s="193"/>
      <c r="Z24" s="204">
        <f t="shared" si="1"/>
        <v>1518</v>
      </c>
      <c r="AA24" s="210"/>
      <c r="AB24" s="205">
        <f t="shared" si="7"/>
        <v>1306.6547031354235</v>
      </c>
      <c r="AC24" s="210"/>
      <c r="AD24" s="175">
        <v>0</v>
      </c>
      <c r="AE24" s="405"/>
      <c r="AF24" s="17">
        <v>21</v>
      </c>
      <c r="AG24" s="405"/>
      <c r="AH24" s="174">
        <v>1500</v>
      </c>
      <c r="AI24" s="405"/>
      <c r="AJ24" s="174">
        <f t="shared" si="8"/>
        <v>0</v>
      </c>
      <c r="AK24" s="405"/>
      <c r="AL24" s="18">
        <v>2</v>
      </c>
      <c r="AM24" s="193"/>
      <c r="AN24" s="204">
        <f t="shared" si="9"/>
        <v>181.3</v>
      </c>
      <c r="AO24" s="193"/>
      <c r="AP24" s="17">
        <f t="shared" si="2"/>
        <v>3061.8940397768401</v>
      </c>
      <c r="AQ24" s="288"/>
      <c r="AR24" s="205">
        <f t="shared" si="10"/>
        <v>1499</v>
      </c>
      <c r="AS24" s="288"/>
      <c r="AT24" s="402">
        <f t="shared" si="20"/>
        <v>1290.3</v>
      </c>
      <c r="AU24" s="175"/>
      <c r="AV24" s="18">
        <f t="shared" si="21"/>
        <v>20.399999999999999</v>
      </c>
      <c r="AW24" s="13"/>
      <c r="AX24" s="487">
        <f t="shared" si="12"/>
        <v>0.86077384923282185</v>
      </c>
      <c r="AY24" s="440">
        <f t="shared" si="13"/>
        <v>0.1256170780520347</v>
      </c>
      <c r="AZ24" s="289">
        <f t="shared" si="14"/>
        <v>1.3609072715143429E-2</v>
      </c>
      <c r="BA24" s="440">
        <f t="shared" si="15"/>
        <v>0.25705136757838559</v>
      </c>
      <c r="BB24" s="470">
        <v>0.2</v>
      </c>
      <c r="BC24" s="470">
        <v>0.6</v>
      </c>
      <c r="BD24" s="471">
        <v>0.7</v>
      </c>
      <c r="BE24" s="440">
        <f t="shared" si="3"/>
        <v>3.9235823882588394</v>
      </c>
      <c r="BF24" s="470">
        <v>4</v>
      </c>
      <c r="BG24" s="470">
        <v>3.5</v>
      </c>
      <c r="BH24" s="471">
        <v>3</v>
      </c>
      <c r="BI24" s="507"/>
    </row>
    <row r="25" spans="1:61">
      <c r="A25" s="209">
        <v>2010</v>
      </c>
      <c r="B25" s="248">
        <v>19234.237499029401</v>
      </c>
      <c r="C25" s="289">
        <v>1</v>
      </c>
      <c r="D25" s="327">
        <v>2157828</v>
      </c>
      <c r="E25" s="211"/>
      <c r="F25" s="461">
        <v>26515.899999999998</v>
      </c>
      <c r="G25" s="461">
        <v>60431.5</v>
      </c>
      <c r="H25" s="327">
        <v>86947.4</v>
      </c>
      <c r="I25" s="462"/>
      <c r="J25" s="207">
        <f t="shared" si="4"/>
        <v>24.818000000000001</v>
      </c>
      <c r="K25" s="208"/>
      <c r="L25" s="327">
        <v>3036.4000000000005</v>
      </c>
      <c r="M25" s="462"/>
      <c r="N25" s="327">
        <v>4625.7</v>
      </c>
      <c r="O25" s="462"/>
      <c r="P25" s="365">
        <v>1.417</v>
      </c>
      <c r="Q25" s="366">
        <v>2.4990000000000001</v>
      </c>
      <c r="R25" s="366">
        <v>13.005000000000001</v>
      </c>
      <c r="S25" s="243">
        <v>10.89</v>
      </c>
      <c r="T25" s="240">
        <f t="shared" si="16"/>
        <v>2.4289999999999998</v>
      </c>
      <c r="U25" s="241"/>
      <c r="V25" s="240">
        <f t="shared" si="0"/>
        <v>13.085000000000001</v>
      </c>
      <c r="W25" s="241"/>
      <c r="X25" s="204">
        <f t="shared" si="6"/>
        <v>4163.1000000000004</v>
      </c>
      <c r="Y25" s="193"/>
      <c r="Z25" s="204">
        <f t="shared" si="1"/>
        <v>1518.2</v>
      </c>
      <c r="AA25" s="210"/>
      <c r="AB25" s="205">
        <f t="shared" si="7"/>
        <v>998.67038128249567</v>
      </c>
      <c r="AC25" s="210"/>
      <c r="AD25" s="175">
        <v>0</v>
      </c>
      <c r="AE25" s="405"/>
      <c r="AF25" s="17">
        <v>19</v>
      </c>
      <c r="AG25" s="405"/>
      <c r="AH25" s="174">
        <v>1500</v>
      </c>
      <c r="AI25" s="405"/>
      <c r="AJ25" s="174">
        <f t="shared" si="8"/>
        <v>0</v>
      </c>
      <c r="AK25" s="405"/>
      <c r="AL25" s="18">
        <v>1</v>
      </c>
      <c r="AM25" s="193"/>
      <c r="AN25" s="204">
        <f t="shared" si="9"/>
        <v>211.2</v>
      </c>
      <c r="AO25" s="193"/>
      <c r="AP25" s="17">
        <f t="shared" si="2"/>
        <v>3626.6590162479142</v>
      </c>
      <c r="AQ25" s="288"/>
      <c r="AR25" s="205">
        <f t="shared" si="10"/>
        <v>1500.2</v>
      </c>
      <c r="AS25" s="288"/>
      <c r="AT25" s="402">
        <f>0.65*Z25</f>
        <v>986.83</v>
      </c>
      <c r="AU25" s="175"/>
      <c r="AV25" s="18">
        <f>ROUND(0.03*V25*H25*0.001,1)</f>
        <v>34.1</v>
      </c>
      <c r="AW25" s="13"/>
      <c r="AX25" s="487">
        <f t="shared" si="12"/>
        <v>0.65779896013864814</v>
      </c>
      <c r="AY25" s="440">
        <f t="shared" si="13"/>
        <v>0.31947073723503533</v>
      </c>
      <c r="AZ25" s="289">
        <f t="shared" si="14"/>
        <v>2.2730302626316493E-2</v>
      </c>
      <c r="BA25" s="440">
        <f t="shared" si="15"/>
        <v>0.33915344620717236</v>
      </c>
      <c r="BB25" s="470">
        <v>0.2</v>
      </c>
      <c r="BC25" s="470">
        <v>0.6</v>
      </c>
      <c r="BD25" s="471">
        <v>0.7</v>
      </c>
      <c r="BE25" s="440">
        <f t="shared" ref="BE25:BE32" si="22">SUMPRODUCT(AX25:AZ25,BF25:BH25)</f>
        <v>3.521693107585655</v>
      </c>
      <c r="BF25" s="470">
        <v>3.8</v>
      </c>
      <c r="BG25" s="470">
        <v>3</v>
      </c>
      <c r="BH25" s="471">
        <v>2.8</v>
      </c>
      <c r="BI25" s="507"/>
    </row>
    <row r="26" spans="1:61">
      <c r="A26" s="209">
        <v>2011</v>
      </c>
      <c r="B26" s="248">
        <v>20857.544845794695</v>
      </c>
      <c r="C26" s="289">
        <v>1.1813</v>
      </c>
      <c r="D26" s="327">
        <v>2292483</v>
      </c>
      <c r="E26" s="211"/>
      <c r="F26" s="461">
        <v>27719.300000000003</v>
      </c>
      <c r="G26" s="461">
        <v>60141.100000000006</v>
      </c>
      <c r="H26" s="327">
        <v>87860.400000000009</v>
      </c>
      <c r="I26" s="462"/>
      <c r="J26" s="207">
        <f t="shared" si="4"/>
        <v>26.091999999999999</v>
      </c>
      <c r="K26" s="208"/>
      <c r="L26" s="327">
        <v>3098.9000000000015</v>
      </c>
      <c r="M26" s="462"/>
      <c r="N26" s="327">
        <v>4835.6000000000004</v>
      </c>
      <c r="O26" s="462"/>
      <c r="P26" s="472">
        <f>ROUND((P27/P25)^(1/2)*P25,3)</f>
        <v>1.3069999999999999</v>
      </c>
      <c r="Q26" s="329">
        <f>ROUND((Q27/Q25)^(1/2)*Q25,3)</f>
        <v>2.1280000000000001</v>
      </c>
      <c r="R26" s="329">
        <f>ROUND((R27/R25)^(1/2)*R25,3)</f>
        <v>11.567</v>
      </c>
      <c r="S26" s="406">
        <f>ROUND((S27/S25)^(1/2)*S25,3)</f>
        <v>10.182</v>
      </c>
      <c r="T26" s="328">
        <f t="shared" si="16"/>
        <v>2.097</v>
      </c>
      <c r="U26" s="330"/>
      <c r="V26" s="328">
        <f t="shared" si="0"/>
        <v>12.045999999999999</v>
      </c>
      <c r="W26" s="239"/>
      <c r="X26" s="204">
        <f>ROUND(0.9*N26,1)</f>
        <v>4352</v>
      </c>
      <c r="Y26" s="193"/>
      <c r="Z26" s="204">
        <f t="shared" si="1"/>
        <v>1549.5</v>
      </c>
      <c r="AA26" s="210"/>
      <c r="AB26" s="205">
        <f t="shared" si="7"/>
        <v>1007.2816519174044</v>
      </c>
      <c r="AC26" s="210"/>
      <c r="AD26" s="18">
        <v>0.76200000000000001</v>
      </c>
      <c r="AE26" s="405"/>
      <c r="AF26" s="17">
        <v>32</v>
      </c>
      <c r="AG26" s="405"/>
      <c r="AH26" s="174">
        <v>1000</v>
      </c>
      <c r="AI26" s="405"/>
      <c r="AJ26" s="174">
        <f t="shared" si="8"/>
        <v>0</v>
      </c>
      <c r="AK26" s="405"/>
      <c r="AL26" s="18">
        <v>8</v>
      </c>
      <c r="AM26" s="193"/>
      <c r="AN26" s="204">
        <f t="shared" si="9"/>
        <v>184.2</v>
      </c>
      <c r="AO26" s="193"/>
      <c r="AP26" s="17">
        <f t="shared" si="2"/>
        <v>4080.978276809632</v>
      </c>
      <c r="AQ26" s="288"/>
      <c r="AR26" s="205">
        <f t="shared" si="10"/>
        <v>1525.5</v>
      </c>
      <c r="AS26" s="288"/>
      <c r="AT26" s="402">
        <f>0.64*Z26</f>
        <v>991.68000000000006</v>
      </c>
      <c r="AU26" s="175"/>
      <c r="AV26" s="18">
        <f>ROUND(0.03*V26*H26*0.001,1)</f>
        <v>31.8</v>
      </c>
      <c r="AW26" s="13"/>
      <c r="AX26" s="487">
        <f t="shared" si="12"/>
        <v>0.6500688298918389</v>
      </c>
      <c r="AY26" s="440">
        <f t="shared" si="13"/>
        <v>0.32908554572271381</v>
      </c>
      <c r="AZ26" s="289">
        <f t="shared" si="14"/>
        <v>2.0845624385447396E-2</v>
      </c>
      <c r="BA26" s="440">
        <f t="shared" si="15"/>
        <v>0.37456047197640113</v>
      </c>
      <c r="BB26" s="470">
        <v>0.25</v>
      </c>
      <c r="BC26" s="470">
        <v>0.6</v>
      </c>
      <c r="BD26" s="471">
        <v>0.7</v>
      </c>
      <c r="BE26" s="440">
        <f t="shared" si="22"/>
        <v>3.5158859390363824</v>
      </c>
      <c r="BF26" s="470">
        <v>3.8</v>
      </c>
      <c r="BG26" s="470">
        <v>3</v>
      </c>
      <c r="BH26" s="471">
        <v>2.8</v>
      </c>
      <c r="BI26" s="507"/>
    </row>
    <row r="27" spans="1:61">
      <c r="A27" s="209">
        <v>2012</v>
      </c>
      <c r="B27" s="248">
        <v>20893.601481415801</v>
      </c>
      <c r="C27" s="289">
        <v>1.2617465300000001</v>
      </c>
      <c r="D27" s="327">
        <v>2412778</v>
      </c>
      <c r="E27" s="211"/>
      <c r="F27" s="461">
        <v>28269.199999999997</v>
      </c>
      <c r="G27" s="461">
        <v>60540.099999999991</v>
      </c>
      <c r="H27" s="327">
        <v>88809.299999999988</v>
      </c>
      <c r="I27" s="462"/>
      <c r="J27" s="207">
        <f>ROUND(D27/H27,3)</f>
        <v>27.167999999999999</v>
      </c>
      <c r="K27" s="208"/>
      <c r="L27" s="327">
        <v>3160.0000000000009</v>
      </c>
      <c r="M27" s="462"/>
      <c r="N27" s="327">
        <v>4973.6000000000004</v>
      </c>
      <c r="O27" s="462"/>
      <c r="P27" s="365">
        <v>1.206</v>
      </c>
      <c r="Q27" s="366">
        <v>1.8120000000000001</v>
      </c>
      <c r="R27" s="366">
        <v>10.288</v>
      </c>
      <c r="S27" s="243">
        <v>9.52</v>
      </c>
      <c r="T27" s="240">
        <f>ROUND((1.2*P27*$F27+1.1*Q27*$G27)/$H27,3)</f>
        <v>1.819</v>
      </c>
      <c r="U27" s="241"/>
      <c r="V27" s="240">
        <f t="shared" si="0"/>
        <v>11.068</v>
      </c>
      <c r="W27" s="241"/>
      <c r="X27" s="204">
        <f t="shared" ref="X27:X32" si="23">ROUND(0.9*N27,1)</f>
        <v>4476.2</v>
      </c>
      <c r="Y27" s="193"/>
      <c r="Z27" s="204">
        <f t="shared" si="1"/>
        <v>1580</v>
      </c>
      <c r="AA27" s="210"/>
      <c r="AB27" s="205">
        <f t="shared" si="7"/>
        <v>1029.443298969072</v>
      </c>
      <c r="AC27" s="210"/>
      <c r="AD27" s="18">
        <v>7.8579999999999997</v>
      </c>
      <c r="AE27" s="405"/>
      <c r="AF27" s="174">
        <v>32</v>
      </c>
      <c r="AG27" s="405"/>
      <c r="AH27" s="174">
        <v>1400</v>
      </c>
      <c r="AI27" s="405"/>
      <c r="AJ27" s="174">
        <f t="shared" si="8"/>
        <v>0</v>
      </c>
      <c r="AK27" s="405"/>
      <c r="AL27" s="175">
        <v>4</v>
      </c>
      <c r="AM27" s="193"/>
      <c r="AN27" s="204">
        <f>ROUND(T27*H27*0.001,1)</f>
        <v>161.5</v>
      </c>
      <c r="AO27" s="193"/>
      <c r="AP27" s="17">
        <f t="shared" si="2"/>
        <v>4155.4847805326026</v>
      </c>
      <c r="AQ27" s="288"/>
      <c r="AR27" s="205">
        <f>Z27-AF27+AL27</f>
        <v>1552</v>
      </c>
      <c r="AS27" s="288"/>
      <c r="AT27" s="402">
        <f>0.64*Z27</f>
        <v>1011.2</v>
      </c>
      <c r="AU27" s="175"/>
      <c r="AV27" s="18">
        <f>ROUND(0.03*V27*H27*0.001,1)</f>
        <v>29.5</v>
      </c>
      <c r="AW27" s="13"/>
      <c r="AX27" s="487">
        <f t="shared" si="12"/>
        <v>0.65154639175257723</v>
      </c>
      <c r="AY27" s="440">
        <f t="shared" si="13"/>
        <v>0.32944587628865979</v>
      </c>
      <c r="AZ27" s="289">
        <f t="shared" si="14"/>
        <v>1.9007731958762885E-2</v>
      </c>
      <c r="BA27" s="440">
        <f t="shared" si="15"/>
        <v>0.37385953608247424</v>
      </c>
      <c r="BB27" s="470">
        <v>0.25</v>
      </c>
      <c r="BC27" s="470">
        <v>0.6</v>
      </c>
      <c r="BD27" s="471">
        <v>0.7</v>
      </c>
      <c r="BE27" s="440">
        <f t="shared" si="22"/>
        <v>3.5174355670103088</v>
      </c>
      <c r="BF27" s="470">
        <v>3.8</v>
      </c>
      <c r="BG27" s="470">
        <v>3</v>
      </c>
      <c r="BH27" s="471">
        <v>2.8</v>
      </c>
      <c r="BI27" s="507"/>
    </row>
    <row r="28" spans="1:61" s="1" customFormat="1">
      <c r="A28" s="174">
        <v>2013</v>
      </c>
      <c r="B28" s="248">
        <v>21032.397092896183</v>
      </c>
      <c r="C28" s="289">
        <v>1.337956020412</v>
      </c>
      <c r="D28" s="248">
        <v>2543596</v>
      </c>
      <c r="E28" s="243"/>
      <c r="F28" s="461">
        <v>28874.9</v>
      </c>
      <c r="G28" s="461">
        <v>60884.599999999991</v>
      </c>
      <c r="H28" s="327">
        <v>89759.5</v>
      </c>
      <c r="I28" s="462"/>
      <c r="J28" s="244">
        <f>ROUND(D28/H28,3)</f>
        <v>28.338000000000001</v>
      </c>
      <c r="K28" s="242"/>
      <c r="L28" s="248">
        <v>3228.7</v>
      </c>
      <c r="M28" s="467"/>
      <c r="N28" s="248">
        <v>5191.2</v>
      </c>
      <c r="O28" s="467"/>
      <c r="P28" s="472">
        <f>ROUND((P29/P27)^(1/2)*P27,3)</f>
        <v>1.302</v>
      </c>
      <c r="Q28" s="329">
        <f>ROUND((Q29/Q27)^(1/2)*Q27,3)</f>
        <v>2.1339999999999999</v>
      </c>
      <c r="R28" s="329">
        <f>ROUND((R29/R27)^(1/2)*R27,3)</f>
        <v>12.192</v>
      </c>
      <c r="S28" s="406">
        <f>ROUND((S29/S27)^(1/2)*S27,3)</f>
        <v>11.667</v>
      </c>
      <c r="T28" s="328">
        <f t="shared" ref="T28" si="24">ROUND((1.2*P28*$F28+1.1*Q28*$G28)/$H28,3)</f>
        <v>2.0950000000000002</v>
      </c>
      <c r="U28" s="330"/>
      <c r="V28" s="328">
        <f t="shared" ref="V28" si="25">ROUND((1.2*R28*$F28+1.1*S28*$G28)/$H28,3)</f>
        <v>13.412000000000001</v>
      </c>
      <c r="W28" s="247"/>
      <c r="X28" s="204">
        <f t="shared" si="23"/>
        <v>4672.1000000000004</v>
      </c>
      <c r="Y28" s="246"/>
      <c r="Z28" s="204">
        <f t="shared" si="1"/>
        <v>1614.4</v>
      </c>
      <c r="AA28" s="245"/>
      <c r="AB28" s="205">
        <f t="shared" si="7"/>
        <v>1027.2529009009011</v>
      </c>
      <c r="AC28" s="245"/>
      <c r="AD28" s="18">
        <v>3.4710000000000001</v>
      </c>
      <c r="AE28" s="245"/>
      <c r="AF28" s="248">
        <v>22</v>
      </c>
      <c r="AG28" s="249"/>
      <c r="AH28" s="17">
        <v>1748</v>
      </c>
      <c r="AI28" s="245"/>
      <c r="AJ28" s="17">
        <f t="shared" si="8"/>
        <v>0</v>
      </c>
      <c r="AK28" s="245"/>
      <c r="AL28" s="175">
        <v>6</v>
      </c>
      <c r="AM28" s="175"/>
      <c r="AN28" s="204">
        <f t="shared" ref="AN28:AN33" si="26">ROUND(T28*H28*0.001,1)</f>
        <v>188</v>
      </c>
      <c r="AO28" s="246"/>
      <c r="AP28" s="17">
        <f t="shared" si="2"/>
        <v>4294.6494077307634</v>
      </c>
      <c r="AQ28" s="250"/>
      <c r="AR28" s="205">
        <f t="shared" ref="AR28:AR33" si="27">Z28-AF28+AL28</f>
        <v>1598.4</v>
      </c>
      <c r="AS28" s="250"/>
      <c r="AT28" s="402">
        <f>0.63*Z28</f>
        <v>1017.0720000000001</v>
      </c>
      <c r="AU28" s="246"/>
      <c r="AV28" s="18">
        <f t="shared" ref="AV28" si="28">ROUND(0.03*V28*H28*0.001,1)</f>
        <v>36.1</v>
      </c>
      <c r="AW28" s="249"/>
      <c r="AX28" s="487">
        <f t="shared" si="12"/>
        <v>0.63630630630630636</v>
      </c>
      <c r="AY28" s="440">
        <f t="shared" si="13"/>
        <v>0.34110860860860853</v>
      </c>
      <c r="AZ28" s="289">
        <f t="shared" si="14"/>
        <v>2.2585085085085086E-2</v>
      </c>
      <c r="BA28" s="440">
        <f t="shared" si="15"/>
        <v>0.37955130130130121</v>
      </c>
      <c r="BB28" s="470">
        <v>0.25</v>
      </c>
      <c r="BC28" s="470">
        <v>0.6</v>
      </c>
      <c r="BD28" s="471">
        <v>0.7</v>
      </c>
      <c r="BE28" s="440">
        <f t="shared" si="22"/>
        <v>3.5045280280280275</v>
      </c>
      <c r="BF28" s="470">
        <v>3.8</v>
      </c>
      <c r="BG28" s="470">
        <v>3</v>
      </c>
      <c r="BH28" s="471">
        <v>2.8</v>
      </c>
      <c r="BI28" s="507"/>
    </row>
    <row r="29" spans="1:61" s="283" customFormat="1">
      <c r="A29" s="454">
        <v>2014</v>
      </c>
      <c r="B29" s="248">
        <v>21300</v>
      </c>
      <c r="C29" s="289">
        <v>1.3625744111875806</v>
      </c>
      <c r="D29" s="327">
        <v>2695796</v>
      </c>
      <c r="E29" s="455"/>
      <c r="F29" s="461">
        <v>30035.399999999994</v>
      </c>
      <c r="G29" s="461">
        <v>60693.500000000007</v>
      </c>
      <c r="H29" s="327">
        <v>90728.9</v>
      </c>
      <c r="I29" s="462"/>
      <c r="J29" s="207">
        <f>ROUND(D29/H29,3)</f>
        <v>29.713000000000001</v>
      </c>
      <c r="K29" s="208"/>
      <c r="L29" s="327">
        <v>3351.2</v>
      </c>
      <c r="M29" s="462"/>
      <c r="N29" s="327">
        <v>5202.3</v>
      </c>
      <c r="O29" s="462"/>
      <c r="P29" s="365">
        <v>1.405</v>
      </c>
      <c r="Q29" s="366">
        <v>2.5139999999999998</v>
      </c>
      <c r="R29" s="470">
        <v>14.448</v>
      </c>
      <c r="S29" s="471">
        <v>14.298999999999999</v>
      </c>
      <c r="T29" s="240">
        <f>ROUND((1.2*P29*$F29+1.1*Q29*$G29)/$H29,3)</f>
        <v>2.4079999999999999</v>
      </c>
      <c r="U29" s="241"/>
      <c r="V29" s="240">
        <f t="shared" ref="V29:V30" si="29">ROUND((1.2*R29*$F29+1.1*S29*$G29)/$H29,3)</f>
        <v>16.260999999999999</v>
      </c>
      <c r="W29" s="239"/>
      <c r="X29" s="204">
        <f t="shared" si="23"/>
        <v>4682.1000000000004</v>
      </c>
      <c r="Y29" s="193"/>
      <c r="Z29" s="204">
        <f t="shared" si="1"/>
        <v>1675.6</v>
      </c>
      <c r="AA29" s="210"/>
      <c r="AB29" s="205">
        <f t="shared" si="7"/>
        <v>1066.4477733027854</v>
      </c>
      <c r="AC29" s="210"/>
      <c r="AD29" s="18">
        <v>52.482999999999997</v>
      </c>
      <c r="AE29" s="405"/>
      <c r="AF29" s="17">
        <v>21</v>
      </c>
      <c r="AG29" s="405"/>
      <c r="AH29" s="174">
        <v>4619</v>
      </c>
      <c r="AI29" s="405"/>
      <c r="AJ29" s="17">
        <f t="shared" si="8"/>
        <v>5.4640721450768979</v>
      </c>
      <c r="AK29" s="405"/>
      <c r="AL29" s="18">
        <v>4</v>
      </c>
      <c r="AM29" s="193"/>
      <c r="AN29" s="204">
        <f t="shared" si="26"/>
        <v>218.5</v>
      </c>
      <c r="AO29" s="193"/>
      <c r="AP29" s="17">
        <f t="shared" si="2"/>
        <v>4469.0640721450773</v>
      </c>
      <c r="AQ29" s="288"/>
      <c r="AR29" s="205">
        <f t="shared" si="27"/>
        <v>1658.6</v>
      </c>
      <c r="AS29" s="288"/>
      <c r="AT29" s="402">
        <f>0.63*Z29</f>
        <v>1055.6279999999999</v>
      </c>
      <c r="AU29" s="18"/>
      <c r="AV29" s="18">
        <f>ROUND(0.04*V29*H29*0.001,1)</f>
        <v>59</v>
      </c>
      <c r="AW29" s="13"/>
      <c r="AX29" s="487">
        <f t="shared" si="12"/>
        <v>0.63645725310502832</v>
      </c>
      <c r="AY29" s="440">
        <f t="shared" si="13"/>
        <v>0.32797057759556253</v>
      </c>
      <c r="AZ29" s="289">
        <f t="shared" si="14"/>
        <v>3.5572169299409144E-2</v>
      </c>
      <c r="BA29" s="440">
        <f t="shared" si="15"/>
        <v>0.380797178343181</v>
      </c>
      <c r="BB29" s="470">
        <v>0.25</v>
      </c>
      <c r="BC29" s="470">
        <v>0.6</v>
      </c>
      <c r="BD29" s="471">
        <v>0.7</v>
      </c>
      <c r="BE29" s="440">
        <f t="shared" si="22"/>
        <v>3.5020513686241403</v>
      </c>
      <c r="BF29" s="470">
        <v>3.8</v>
      </c>
      <c r="BG29" s="470">
        <v>3</v>
      </c>
      <c r="BH29" s="471">
        <v>2.8</v>
      </c>
      <c r="BI29" s="507"/>
    </row>
    <row r="30" spans="1:61" s="283" customFormat="1">
      <c r="A30" s="174">
        <v>2015</v>
      </c>
      <c r="B30" s="248">
        <f>($B$33/$B$29)^(1/4)*B29</f>
        <v>21712.841474121753</v>
      </c>
      <c r="C30" s="289">
        <v>1.3707498576547061</v>
      </c>
      <c r="D30" s="327">
        <v>2875856</v>
      </c>
      <c r="E30" s="211"/>
      <c r="F30" s="461">
        <v>31067.5</v>
      </c>
      <c r="G30" s="461">
        <v>60642.299999999996</v>
      </c>
      <c r="H30" s="327">
        <v>91709.799999999988</v>
      </c>
      <c r="I30" s="462"/>
      <c r="J30" s="207">
        <f t="shared" ref="J30:J33" si="30">ROUND(D30/H30,3)</f>
        <v>31.358000000000001</v>
      </c>
      <c r="K30" s="208"/>
      <c r="L30" s="327">
        <v>3491.599999999999</v>
      </c>
      <c r="M30" s="462"/>
      <c r="N30" s="327">
        <v>5287.2</v>
      </c>
      <c r="O30" s="462"/>
      <c r="P30" s="472">
        <f>ROUND((P31/P29)^(1/2)*P29,3)</f>
        <v>1.4470000000000001</v>
      </c>
      <c r="Q30" s="329">
        <f>ROUND((Q31/Q29)^(1/2)*Q29,3)</f>
        <v>2.4969999999999999</v>
      </c>
      <c r="R30" s="329">
        <f>ROUND((R31/R29)^(1/2)*R29,3)</f>
        <v>15.234</v>
      </c>
      <c r="S30" s="406">
        <f>ROUND((S31/S29)^(1/2)*S29,3)</f>
        <v>15.122999999999999</v>
      </c>
      <c r="T30" s="328">
        <f>ROUND((1.2*P30*$F30+1.1*Q30*$G30)/$H30,3)</f>
        <v>2.4039999999999999</v>
      </c>
      <c r="U30" s="330"/>
      <c r="V30" s="328">
        <f t="shared" si="29"/>
        <v>17.193000000000001</v>
      </c>
      <c r="W30" s="241"/>
      <c r="X30" s="204">
        <f t="shared" si="23"/>
        <v>4758.5</v>
      </c>
      <c r="Y30" s="193"/>
      <c r="Z30" s="204">
        <f t="shared" si="1"/>
        <v>1745.8</v>
      </c>
      <c r="AA30" s="210"/>
      <c r="AB30" s="205">
        <f>AX30*Z30</f>
        <v>972.44442626754847</v>
      </c>
      <c r="AC30" s="210"/>
      <c r="AD30" s="18">
        <v>6.8680000000000003</v>
      </c>
      <c r="AE30" s="405"/>
      <c r="AF30" s="17">
        <v>30</v>
      </c>
      <c r="AG30" s="405"/>
      <c r="AH30" s="255">
        <f>(AH$33/AH$29)^(1/4)*AH29</f>
        <v>5369.7029634322225</v>
      </c>
      <c r="AI30" s="405"/>
      <c r="AJ30" s="248">
        <f t="shared" si="8"/>
        <v>368.54922894112769</v>
      </c>
      <c r="AK30" s="405"/>
      <c r="AL30" s="18">
        <v>8</v>
      </c>
      <c r="AM30" s="193"/>
      <c r="AN30" s="204">
        <f t="shared" si="26"/>
        <v>220.5</v>
      </c>
      <c r="AO30" s="193"/>
      <c r="AP30" s="17">
        <f t="shared" si="2"/>
        <v>4906.5492289411277</v>
      </c>
      <c r="AQ30" s="288"/>
      <c r="AR30" s="205">
        <f t="shared" si="27"/>
        <v>1723.8</v>
      </c>
      <c r="AS30" s="288"/>
      <c r="AT30" s="402">
        <f>0.55*Z30</f>
        <v>960.19</v>
      </c>
      <c r="AU30" s="175"/>
      <c r="AV30" s="18">
        <f>ROUND(0.04*V30*H30*0.001,1)</f>
        <v>63.1</v>
      </c>
      <c r="AW30" s="13"/>
      <c r="AX30" s="487">
        <f t="shared" si="12"/>
        <v>0.55701937579765637</v>
      </c>
      <c r="AY30" s="440">
        <f t="shared" si="13"/>
        <v>0.40637544958811922</v>
      </c>
      <c r="AZ30" s="289">
        <f t="shared" si="14"/>
        <v>3.6605174614224391E-2</v>
      </c>
      <c r="BA30" s="440">
        <f t="shared" si="15"/>
        <v>0.40870373593224268</v>
      </c>
      <c r="BB30" s="470">
        <v>0.25</v>
      </c>
      <c r="BC30" s="470">
        <v>0.6</v>
      </c>
      <c r="BD30" s="471">
        <v>0.7</v>
      </c>
      <c r="BE30" s="440">
        <f t="shared" si="22"/>
        <v>3.4382944657152801</v>
      </c>
      <c r="BF30" s="470">
        <v>3.8</v>
      </c>
      <c r="BG30" s="470">
        <v>3</v>
      </c>
      <c r="BH30" s="471">
        <v>2.8</v>
      </c>
      <c r="BI30" s="507"/>
    </row>
    <row r="31" spans="1:61" s="283" customFormat="1">
      <c r="A31" s="209">
        <v>2016</v>
      </c>
      <c r="B31" s="248">
        <f>($B$33/$B$29)^(1/4)*B30</f>
        <v>22133.684736166277</v>
      </c>
      <c r="C31" s="289">
        <v>1.435723400907539</v>
      </c>
      <c r="D31" s="327">
        <v>3054470</v>
      </c>
      <c r="E31" s="211"/>
      <c r="F31" s="461">
        <v>31926.300000000003</v>
      </c>
      <c r="G31" s="461">
        <v>60765.899999999994</v>
      </c>
      <c r="H31" s="327">
        <v>92692.2</v>
      </c>
      <c r="I31" s="462"/>
      <c r="J31" s="207">
        <f t="shared" si="30"/>
        <v>32.953000000000003</v>
      </c>
      <c r="K31" s="208"/>
      <c r="L31" s="327">
        <v>3664.6000000000004</v>
      </c>
      <c r="M31" s="462"/>
      <c r="N31" s="327">
        <v>5246.5</v>
      </c>
      <c r="O31" s="462"/>
      <c r="P31" s="365">
        <v>1.4910000000000001</v>
      </c>
      <c r="Q31" s="366">
        <v>2.4809999999999999</v>
      </c>
      <c r="R31" s="470">
        <v>16.062999999999999</v>
      </c>
      <c r="S31" s="471">
        <v>15.994</v>
      </c>
      <c r="T31" s="240">
        <f>ROUND((1.2*P31*$F31+1.1*Q31*$G31)/$H31,3)</f>
        <v>2.4049999999999998</v>
      </c>
      <c r="U31" s="241"/>
      <c r="V31" s="240">
        <f t="shared" ref="V31:V32" si="31">ROUND((1.2*R31*$F31+1.1*S31*$G31)/$H31,3)</f>
        <v>18.172999999999998</v>
      </c>
      <c r="W31" s="239"/>
      <c r="X31" s="204">
        <f t="shared" si="23"/>
        <v>4721.8999999999996</v>
      </c>
      <c r="Y31" s="193"/>
      <c r="Z31" s="204">
        <f t="shared" si="1"/>
        <v>1832.3</v>
      </c>
      <c r="AA31" s="210"/>
      <c r="AB31" s="205">
        <f t="shared" si="7"/>
        <v>916.15</v>
      </c>
      <c r="AC31" s="210"/>
      <c r="AD31" s="18">
        <v>26.908999999999999</v>
      </c>
      <c r="AE31" s="405"/>
      <c r="AF31" s="17">
        <v>35</v>
      </c>
      <c r="AG31" s="405"/>
      <c r="AH31" s="255">
        <f t="shared" ref="AH31" si="32">(AH$33/AH$29)^(1/4)*AH30</f>
        <v>6242.4139241162138</v>
      </c>
      <c r="AI31" s="405"/>
      <c r="AJ31" s="248">
        <f t="shared" si="8"/>
        <v>835.41082375417136</v>
      </c>
      <c r="AK31" s="405"/>
      <c r="AL31" s="18">
        <v>10</v>
      </c>
      <c r="AM31" s="193"/>
      <c r="AN31" s="204">
        <f t="shared" si="26"/>
        <v>222.9</v>
      </c>
      <c r="AO31" s="193"/>
      <c r="AP31" s="17">
        <f t="shared" si="2"/>
        <v>5334.4108237541714</v>
      </c>
      <c r="AQ31" s="288"/>
      <c r="AR31" s="205">
        <f t="shared" si="27"/>
        <v>1807.3</v>
      </c>
      <c r="AS31" s="288"/>
      <c r="AT31" s="402">
        <f>0.5*AR31</f>
        <v>903.65</v>
      </c>
      <c r="AU31" s="175"/>
      <c r="AV31" s="18">
        <f>ROUND(0.045*V31*H31*0.001,1)</f>
        <v>75.8</v>
      </c>
      <c r="AW31" s="13"/>
      <c r="AX31" s="487">
        <f t="shared" si="12"/>
        <v>0.5</v>
      </c>
      <c r="AY31" s="440">
        <f t="shared" si="13"/>
        <v>0.45805898301333481</v>
      </c>
      <c r="AZ31" s="289">
        <f t="shared" si="14"/>
        <v>4.1941016986665192E-2</v>
      </c>
      <c r="BA31" s="440">
        <f t="shared" ref="BA31:BA44" si="33">SUMPRODUCT(AX31:AZ31,BB31:BD31)</f>
        <v>0.42919410169866651</v>
      </c>
      <c r="BB31" s="470">
        <v>0.25</v>
      </c>
      <c r="BC31" s="470">
        <v>0.6</v>
      </c>
      <c r="BD31" s="471">
        <v>0.7</v>
      </c>
      <c r="BE31" s="440">
        <f t="shared" si="22"/>
        <v>3.3916117966026671</v>
      </c>
      <c r="BF31" s="470">
        <v>3.8</v>
      </c>
      <c r="BG31" s="470">
        <v>3</v>
      </c>
      <c r="BH31" s="471">
        <v>2.8</v>
      </c>
      <c r="BI31" s="507"/>
    </row>
    <row r="32" spans="1:61" s="283" customFormat="1">
      <c r="A32" s="174">
        <v>2017</v>
      </c>
      <c r="B32" s="248">
        <f>($B$33/$B$29)^(1/4)*B31</f>
        <v>22562.684878618154</v>
      </c>
      <c r="C32" s="289">
        <v>1.4730522093311351</v>
      </c>
      <c r="D32" s="327">
        <v>3262548</v>
      </c>
      <c r="E32" s="211"/>
      <c r="F32" s="461">
        <v>32823.1</v>
      </c>
      <c r="G32" s="461">
        <v>60854.5</v>
      </c>
      <c r="H32" s="327">
        <v>93677.6</v>
      </c>
      <c r="I32" s="462"/>
      <c r="J32" s="207">
        <f t="shared" si="30"/>
        <v>34.826999999999998</v>
      </c>
      <c r="K32" s="208"/>
      <c r="L32" s="327">
        <v>3733.3000000000006</v>
      </c>
      <c r="M32" s="462"/>
      <c r="N32" s="327">
        <v>5109.5999999999995</v>
      </c>
      <c r="O32" s="462"/>
      <c r="P32" s="472">
        <f>ROUND((P33/P31)^(1/2)*P31,3)</f>
        <v>1.51</v>
      </c>
      <c r="Q32" s="329">
        <f>ROUND((Q33/Q31)^(1/2)*Q31,3)</f>
        <v>2.39</v>
      </c>
      <c r="R32" s="329">
        <f>ROUND((R33/R31)^(1/2)*R31,3)</f>
        <v>16.047999999999998</v>
      </c>
      <c r="S32" s="406">
        <f>ROUND((S33/S31)^(1/2)*S31,3)</f>
        <v>16.350000000000001</v>
      </c>
      <c r="T32" s="328">
        <f t="shared" ref="T32" si="34">ROUND((1.2*P32*$F32+1.1*Q32*$G32)/$H32,3)</f>
        <v>2.343</v>
      </c>
      <c r="U32" s="330"/>
      <c r="V32" s="328">
        <f t="shared" si="31"/>
        <v>18.431000000000001</v>
      </c>
      <c r="W32" s="241"/>
      <c r="X32" s="204">
        <f t="shared" si="23"/>
        <v>4598.6000000000004</v>
      </c>
      <c r="Y32" s="193"/>
      <c r="Z32" s="327">
        <f t="shared" ref="Z32" si="35">ROUND(0.5*L32,1)</f>
        <v>1866.7</v>
      </c>
      <c r="AA32" s="475"/>
      <c r="AB32" s="461">
        <f t="shared" si="7"/>
        <v>821.34800000000018</v>
      </c>
      <c r="AC32" s="475"/>
      <c r="AD32" s="476">
        <v>49.976999999999997</v>
      </c>
      <c r="AE32" s="477"/>
      <c r="AF32" s="248">
        <v>40</v>
      </c>
      <c r="AG32" s="477"/>
      <c r="AH32" s="481">
        <v>7738.3870000000006</v>
      </c>
      <c r="AI32" s="477"/>
      <c r="AJ32" s="248">
        <f t="shared" si="8"/>
        <v>1240.9138373689884</v>
      </c>
      <c r="AK32" s="477"/>
      <c r="AL32" s="476">
        <v>8</v>
      </c>
      <c r="AM32" s="193"/>
      <c r="AN32" s="204">
        <f t="shared" si="26"/>
        <v>219.5</v>
      </c>
      <c r="AO32" s="193"/>
      <c r="AP32" s="17">
        <f t="shared" si="2"/>
        <v>5620.0138373689888</v>
      </c>
      <c r="AQ32" s="288"/>
      <c r="AR32" s="205">
        <f t="shared" si="27"/>
        <v>1834.7</v>
      </c>
      <c r="AS32" s="288"/>
      <c r="AT32" s="402">
        <f>0.44*AR32</f>
        <v>807.26800000000003</v>
      </c>
      <c r="AU32" s="175"/>
      <c r="AV32" s="18">
        <f>ROUND(0.045*V32*H32*0.001,1)</f>
        <v>77.7</v>
      </c>
      <c r="AW32" s="13"/>
      <c r="AX32" s="487">
        <f t="shared" si="12"/>
        <v>0.44000000000000006</v>
      </c>
      <c r="AY32" s="440">
        <f t="shared" si="13"/>
        <v>0.51764975200305219</v>
      </c>
      <c r="AZ32" s="289">
        <f t="shared" si="14"/>
        <v>4.2350247996947733E-2</v>
      </c>
      <c r="BA32" s="440">
        <f t="shared" si="33"/>
        <v>0.45023502479969474</v>
      </c>
      <c r="BB32" s="470">
        <v>0.25</v>
      </c>
      <c r="BC32" s="470">
        <v>0.6</v>
      </c>
      <c r="BD32" s="471">
        <v>0.7</v>
      </c>
      <c r="BE32" s="440">
        <f t="shared" si="22"/>
        <v>3.3435299504006104</v>
      </c>
      <c r="BF32" s="470">
        <v>3.8</v>
      </c>
      <c r="BG32" s="470">
        <v>3</v>
      </c>
      <c r="BH32" s="471">
        <v>2.8</v>
      </c>
      <c r="BI32" s="507"/>
    </row>
    <row r="33" spans="1:62" s="1" customFormat="1" ht="17" thickBot="1">
      <c r="A33" s="252">
        <v>2018</v>
      </c>
      <c r="B33" s="456">
        <v>23000</v>
      </c>
      <c r="C33" s="384">
        <v>1.5169491651692031</v>
      </c>
      <c r="D33" s="456">
        <v>3493399</v>
      </c>
      <c r="E33" s="466">
        <f>D33</f>
        <v>3493399</v>
      </c>
      <c r="F33" s="461">
        <v>33830</v>
      </c>
      <c r="G33" s="461">
        <v>60836</v>
      </c>
      <c r="H33" s="464">
        <v>94666</v>
      </c>
      <c r="I33" s="465">
        <f>H33</f>
        <v>94666</v>
      </c>
      <c r="J33" s="254">
        <f t="shared" si="30"/>
        <v>36.902000000000001</v>
      </c>
      <c r="K33" s="385">
        <f>J33</f>
        <v>36.902000000000001</v>
      </c>
      <c r="L33" s="456">
        <v>3816.3999999999992</v>
      </c>
      <c r="M33" s="466">
        <f>L33</f>
        <v>3816.3999999999992</v>
      </c>
      <c r="N33" s="644">
        <v>4877.3999999999996</v>
      </c>
      <c r="O33" s="466">
        <f>N33</f>
        <v>4877.3999999999996</v>
      </c>
      <c r="P33" s="367">
        <v>1.53</v>
      </c>
      <c r="Q33" s="368">
        <v>2.302</v>
      </c>
      <c r="R33" s="468">
        <v>16.033999999999999</v>
      </c>
      <c r="S33" s="469">
        <v>16.713000000000001</v>
      </c>
      <c r="T33" s="473">
        <f>ROUND((1.2*P33*$F33+1.1*Q33*$G33)/$H33,3)</f>
        <v>2.2829999999999999</v>
      </c>
      <c r="U33" s="474"/>
      <c r="V33" s="473">
        <f>ROUND((1.2*R33*$F33+1.1*S33*$G33)/$H33,3)</f>
        <v>18.690000000000001</v>
      </c>
      <c r="W33" s="469">
        <f>V33</f>
        <v>18.690000000000001</v>
      </c>
      <c r="X33" s="253">
        <f>ROUND(0.9*N33,1)</f>
        <v>4389.7</v>
      </c>
      <c r="Y33" s="443">
        <f>X33</f>
        <v>4389.7</v>
      </c>
      <c r="Z33" s="464">
        <f>ROUND(0.5*L33,1)</f>
        <v>1908.2</v>
      </c>
      <c r="AA33" s="466">
        <f>Z33</f>
        <v>1908.2</v>
      </c>
      <c r="AB33" s="463">
        <f t="shared" si="7"/>
        <v>753.17332797144718</v>
      </c>
      <c r="AC33" s="466">
        <f>AB33</f>
        <v>753.17332797144718</v>
      </c>
      <c r="AD33" s="478">
        <v>0</v>
      </c>
      <c r="AE33" s="466">
        <f>AD33</f>
        <v>0</v>
      </c>
      <c r="AF33" s="479">
        <f>14.3</f>
        <v>14.3</v>
      </c>
      <c r="AG33" s="480">
        <f>AF33</f>
        <v>14.3</v>
      </c>
      <c r="AH33" s="456">
        <v>8436.4</v>
      </c>
      <c r="AI33" s="466">
        <f>AH33</f>
        <v>8436.4</v>
      </c>
      <c r="AJ33" s="456">
        <f t="shared" si="8"/>
        <v>1966.2662991896195</v>
      </c>
      <c r="AK33" s="466">
        <f>AJ33</f>
        <v>1966.2662991896195</v>
      </c>
      <c r="AL33" s="478">
        <v>12.7</v>
      </c>
      <c r="AM33" s="180"/>
      <c r="AN33" s="253">
        <f t="shared" si="26"/>
        <v>216.1</v>
      </c>
      <c r="AO33" s="443">
        <f>AN33</f>
        <v>216.1</v>
      </c>
      <c r="AP33" s="24">
        <f t="shared" si="2"/>
        <v>6139.866299189619</v>
      </c>
      <c r="AQ33" s="79">
        <f>AP33</f>
        <v>6139.866299189619</v>
      </c>
      <c r="AR33" s="444">
        <f t="shared" si="27"/>
        <v>1906.6000000000001</v>
      </c>
      <c r="AS33" s="79">
        <f>AR33</f>
        <v>1906.6000000000001</v>
      </c>
      <c r="AT33" s="403">
        <f>0.39*AR33</f>
        <v>743.57400000000007</v>
      </c>
      <c r="AU33" s="404">
        <f>AT33</f>
        <v>743.57400000000007</v>
      </c>
      <c r="AV33" s="25">
        <f>ROUND(0.05*V33*H33*0.001,1)</f>
        <v>88.5</v>
      </c>
      <c r="AW33" s="522">
        <f>AV33</f>
        <v>88.5</v>
      </c>
      <c r="AX33" s="488">
        <f>'Baseline Projection (Backup)'!D6/'Baseline Projection (Backup)'!$G6</f>
        <v>0.39470355726414796</v>
      </c>
      <c r="AY33" s="442">
        <f>'Baseline Projection (Backup)'!E6/'Baseline Projection (Backup)'!$G6</f>
        <v>0.55416718104595653</v>
      </c>
      <c r="AZ33" s="384">
        <f>'Baseline Projection (Backup)'!F6/'Baseline Projection (Backup)'!$G6</f>
        <v>5.1129261689895657E-2</v>
      </c>
      <c r="BA33" s="442">
        <f t="shared" si="33"/>
        <v>0.48670185898974522</v>
      </c>
      <c r="BB33" s="468">
        <v>0.3</v>
      </c>
      <c r="BC33" s="468">
        <v>0.6</v>
      </c>
      <c r="BD33" s="469">
        <v>0.7</v>
      </c>
      <c r="BE33" s="442">
        <f>SUMPRODUCT(AX33:AZ33,BF33:BH33)</f>
        <v>3.3055369934733396</v>
      </c>
      <c r="BF33" s="468">
        <v>3.8</v>
      </c>
      <c r="BG33" s="468">
        <v>3</v>
      </c>
      <c r="BH33" s="469">
        <v>2.8</v>
      </c>
      <c r="BI33" s="507"/>
    </row>
    <row r="34" spans="1:62" s="1" customFormat="1">
      <c r="A34" s="647">
        <v>2019</v>
      </c>
      <c r="B34" s="648">
        <f>ROUND((1+B$47)*B33,0)</f>
        <v>23460</v>
      </c>
      <c r="C34" s="649">
        <f>1.03*C33</f>
        <v>1.5624576401242791</v>
      </c>
      <c r="D34" s="244"/>
      <c r="E34" s="246">
        <f>ROUND((1+0.06)*E33,0)</f>
        <v>3703003</v>
      </c>
      <c r="F34" s="650">
        <f>F33*(F$45/F$33)^(1/12)</f>
        <v>34753.123478163914</v>
      </c>
      <c r="G34" s="651">
        <f>G33*(G$45/G$33)^(1/12)</f>
        <v>60914.794603021408</v>
      </c>
      <c r="H34" s="652"/>
      <c r="I34" s="651">
        <f>G34+F34</f>
        <v>95667.918081185315</v>
      </c>
      <c r="J34" s="244"/>
      <c r="K34" s="653">
        <f>E34/I34</f>
        <v>38.706842108318618</v>
      </c>
      <c r="L34" s="17"/>
      <c r="M34" s="523">
        <f>'TABLE OUTPUTS'!E35/0.5</f>
        <v>3055.5351159629249</v>
      </c>
      <c r="N34" s="402"/>
      <c r="O34" s="523">
        <f>'TABLE OUTPUTS'!F35/0.9</f>
        <v>4796.5289853361846</v>
      </c>
      <c r="P34" s="402"/>
      <c r="Q34" s="246"/>
      <c r="R34" s="246"/>
      <c r="S34" s="246"/>
      <c r="T34" s="402"/>
      <c r="U34" s="654">
        <f>'TABLE OUTPUTS'!AF35</f>
        <v>2.4203882811712316</v>
      </c>
      <c r="V34" s="402"/>
      <c r="W34" s="655">
        <f>'TABLE OUTPUTS'!AE35</f>
        <v>15.955646975448403</v>
      </c>
      <c r="X34" s="174"/>
      <c r="Y34" s="523">
        <f>'TABLE OUTPUTS'!F35</f>
        <v>4316.8760868025665</v>
      </c>
      <c r="Z34" s="656"/>
      <c r="AA34" s="523">
        <f>'TABLE OUTPUTS'!E35</f>
        <v>1527.7675579814625</v>
      </c>
      <c r="AB34" s="402"/>
      <c r="AC34" s="523">
        <f>'TABLE OUTPUTS'!B35</f>
        <v>519.62756574953846</v>
      </c>
      <c r="AD34" s="656"/>
      <c r="AE34" s="523">
        <f>'TABLE OUTPUTS'!S35</f>
        <v>0</v>
      </c>
      <c r="AF34" s="656"/>
      <c r="AG34" s="654">
        <f>'TABLE OUTPUTS'!R35</f>
        <v>2.1000000000000001E-2</v>
      </c>
      <c r="AH34" s="656"/>
      <c r="AI34" s="523">
        <f>'TABLE OUTPUTS'!X35</f>
        <v>6915.9400781178747</v>
      </c>
      <c r="AJ34" s="656"/>
      <c r="AK34" s="523">
        <f>AQ34-(Y34-AO34)</f>
        <v>762.92752814441928</v>
      </c>
      <c r="AL34" s="251"/>
      <c r="AM34" s="251"/>
      <c r="AN34" s="255"/>
      <c r="AO34" s="437">
        <f>'TABLE OUTPUTS'!K35</f>
        <v>231.75435627159848</v>
      </c>
      <c r="AP34" s="657"/>
      <c r="AQ34" s="453">
        <f>'TABLE OUTPUTS'!M35</f>
        <v>4848.0492586753871</v>
      </c>
      <c r="AR34" s="386"/>
      <c r="AS34" s="453">
        <f>'TABLE OUTPUTS'!J35</f>
        <v>1527.7675579814625</v>
      </c>
      <c r="AT34" s="251"/>
      <c r="AU34" s="437">
        <f>'TABLE OUTPUTS'!G35</f>
        <v>519.62756574953823</v>
      </c>
      <c r="AV34" s="175"/>
      <c r="AW34" s="523">
        <f>'TABLE OUTPUTS'!I35</f>
        <v>106.23261478598123</v>
      </c>
      <c r="AX34" s="487">
        <f>'Baseline Projection (Backup)'!D7/'Baseline Projection (Backup)'!$G7</f>
        <v>0.3932204171908692</v>
      </c>
      <c r="AY34" s="440">
        <f>'Baseline Projection (Backup)'!E7/'Baseline Projection (Backup)'!$G7</f>
        <v>0.55566365803223139</v>
      </c>
      <c r="AZ34" s="289">
        <f>'Baseline Projection (Backup)'!F7/'Baseline Projection (Backup)'!$G7</f>
        <v>5.1115924776899448E-2</v>
      </c>
      <c r="BA34" s="440">
        <f t="shared" si="33"/>
        <v>0.48714546732042913</v>
      </c>
      <c r="BB34" s="470">
        <v>0.3</v>
      </c>
      <c r="BC34" s="470">
        <v>0.6</v>
      </c>
      <c r="BD34" s="471">
        <v>0.7</v>
      </c>
      <c r="BE34" s="484">
        <f>SUMPRODUCT(AX34:AZ34,BF34:BH34)</f>
        <v>3.3043531487973157</v>
      </c>
      <c r="BF34" s="485">
        <v>3.8</v>
      </c>
      <c r="BG34" s="485">
        <v>3</v>
      </c>
      <c r="BH34" s="486">
        <v>2.8</v>
      </c>
      <c r="BI34" s="451"/>
      <c r="BJ34" s="451"/>
    </row>
    <row r="35" spans="1:62" s="1" customFormat="1">
      <c r="A35" s="658">
        <v>2020</v>
      </c>
      <c r="B35" s="255">
        <f t="shared" ref="B35:B42" si="36">ROUND((1+B$47)*B34,0)</f>
        <v>23929</v>
      </c>
      <c r="C35" s="653">
        <f>1.03*C34</f>
        <v>1.6093313693280076</v>
      </c>
      <c r="D35" s="244"/>
      <c r="E35" s="246">
        <f>ROUND((1+0.06)*E34,0)</f>
        <v>3925183</v>
      </c>
      <c r="F35" s="402">
        <f t="shared" ref="F35:F44" si="37">F34*(F$45/F$33)^(1/12)</f>
        <v>35701.436343142414</v>
      </c>
      <c r="G35" s="245">
        <f t="shared" ref="G35:G44" si="38">G34*(G$45/G$33)^(1/12)</f>
        <v>60993.691260574102</v>
      </c>
      <c r="H35" s="18"/>
      <c r="I35" s="245">
        <f t="shared" ref="I35:I45" si="39">G35+F35</f>
        <v>96695.127603716508</v>
      </c>
      <c r="J35" s="244"/>
      <c r="K35" s="653">
        <f t="shared" ref="K35:K43" si="40">E35/I35</f>
        <v>40.593389731967576</v>
      </c>
      <c r="L35" s="17"/>
      <c r="M35" s="523">
        <f>'TABLE OUTPUTS'!E36/0.5</f>
        <v>3496.6338281999729</v>
      </c>
      <c r="N35" s="402"/>
      <c r="O35" s="523">
        <f>'TABLE OUTPUTS'!F36/0.9</f>
        <v>5003.565646485461</v>
      </c>
      <c r="P35" s="402"/>
      <c r="Q35" s="246"/>
      <c r="R35" s="246"/>
      <c r="S35" s="246"/>
      <c r="T35" s="402"/>
      <c r="U35" s="654">
        <f>'TABLE OUTPUTS'!AF36</f>
        <v>2.682145238515047</v>
      </c>
      <c r="V35" s="402"/>
      <c r="W35" s="655">
        <f>'TABLE OUTPUTS'!AE36</f>
        <v>18.052117735675136</v>
      </c>
      <c r="X35" s="174"/>
      <c r="Y35" s="523">
        <f>'TABLE OUTPUTS'!F36</f>
        <v>4503.2090818369152</v>
      </c>
      <c r="Z35" s="656"/>
      <c r="AA35" s="523">
        <f>'TABLE OUTPUTS'!E36</f>
        <v>1748.3169140999864</v>
      </c>
      <c r="AB35" s="402"/>
      <c r="AC35" s="523">
        <f>'TABLE OUTPUTS'!B36</f>
        <v>597.57316673246464</v>
      </c>
      <c r="AD35" s="656"/>
      <c r="AE35" s="523">
        <f>'TABLE OUTPUTS'!S36</f>
        <v>0</v>
      </c>
      <c r="AF35" s="656"/>
      <c r="AG35" s="654">
        <f>'TABLE OUTPUTS'!R36</f>
        <v>2.1000000000000001E-2</v>
      </c>
      <c r="AH35" s="656"/>
      <c r="AI35" s="523">
        <f>'TABLE OUTPUTS'!X36</f>
        <v>8984.4345892680685</v>
      </c>
      <c r="AJ35" s="656"/>
      <c r="AK35" s="523">
        <f t="shared" ref="AK35:AK45" si="41">AQ35-(Y35-AO35)</f>
        <v>1295.9469319167683</v>
      </c>
      <c r="AL35" s="251"/>
      <c r="AM35" s="251"/>
      <c r="AN35" s="255"/>
      <c r="AO35" s="437">
        <f>'TABLE OUTPUTS'!K36</f>
        <v>259.76120670327686</v>
      </c>
      <c r="AP35" s="657"/>
      <c r="AQ35" s="453">
        <f>'TABLE OUTPUTS'!M36</f>
        <v>5539.3948070504066</v>
      </c>
      <c r="AR35" s="386"/>
      <c r="AS35" s="453">
        <f>'TABLE OUTPUTS'!J36</f>
        <v>1748.3169140999862</v>
      </c>
      <c r="AT35" s="251"/>
      <c r="AU35" s="437">
        <f>'TABLE OUTPUTS'!G36</f>
        <v>597.57316673246453</v>
      </c>
      <c r="AV35" s="175"/>
      <c r="AW35" s="523">
        <f>'TABLE OUTPUTS'!I36</f>
        <v>107.03280117908854</v>
      </c>
      <c r="AX35" s="487">
        <f>'Baseline Projection (Backup)'!D8/'Baseline Projection (Backup)'!$G8</f>
        <v>0.39019574675628982</v>
      </c>
      <c r="AY35" s="440">
        <f>'Baseline Projection (Backup)'!E8/'Baseline Projection (Backup)'!$G8</f>
        <v>0.55796874498262417</v>
      </c>
      <c r="AZ35" s="289">
        <f>'Baseline Projection (Backup)'!F8/'Baseline Projection (Backup)'!$G8</f>
        <v>5.1835508261085968E-2</v>
      </c>
      <c r="BA35" s="440">
        <f t="shared" si="33"/>
        <v>0.48812482679922164</v>
      </c>
      <c r="BB35" s="470">
        <v>0.3</v>
      </c>
      <c r="BC35" s="470">
        <v>0.6</v>
      </c>
      <c r="BD35" s="471">
        <v>0.7</v>
      </c>
      <c r="BE35" s="487">
        <f>SUMPRODUCT(AX35:AZ35,BF35:BH35)</f>
        <v>3.3017894957528142</v>
      </c>
      <c r="BF35" s="470">
        <v>3.8</v>
      </c>
      <c r="BG35" s="470">
        <v>3</v>
      </c>
      <c r="BH35" s="471">
        <v>2.8</v>
      </c>
      <c r="BJ35" s="451"/>
    </row>
    <row r="36" spans="1:62" s="1" customFormat="1">
      <c r="A36" s="658">
        <v>2021</v>
      </c>
      <c r="B36" s="255">
        <f t="shared" si="36"/>
        <v>24408</v>
      </c>
      <c r="C36" s="653">
        <f t="shared" ref="C36:C45" si="42">1.03*C35</f>
        <v>1.6576113104078478</v>
      </c>
      <c r="D36" s="244"/>
      <c r="E36" s="246">
        <f t="shared" ref="E36:E43" si="43">ROUND((1+0.06)*E35,0)</f>
        <v>4160694</v>
      </c>
      <c r="F36" s="402">
        <f t="shared" si="37"/>
        <v>36675.62594091153</v>
      </c>
      <c r="G36" s="245">
        <f t="shared" si="38"/>
        <v>61072.690104838803</v>
      </c>
      <c r="H36" s="18"/>
      <c r="I36" s="245">
        <f t="shared" si="39"/>
        <v>97748.31604575034</v>
      </c>
      <c r="J36" s="244"/>
      <c r="K36" s="653">
        <f>E36/I36</f>
        <v>42.565377781573439</v>
      </c>
      <c r="L36" s="17"/>
      <c r="M36" s="523">
        <f>'TABLE OUTPUTS'!E37/0.5</f>
        <v>3648.0888128148968</v>
      </c>
      <c r="N36" s="402"/>
      <c r="O36" s="523">
        <f>'TABLE OUTPUTS'!F37/0.9</f>
        <v>5205.9889551779479</v>
      </c>
      <c r="P36" s="402"/>
      <c r="Q36" s="246"/>
      <c r="R36" s="246"/>
      <c r="S36" s="246"/>
      <c r="T36" s="402"/>
      <c r="U36" s="654">
        <f>'TABLE OUTPUTS'!AF37</f>
        <v>2.7452058682282923</v>
      </c>
      <c r="V36" s="402"/>
      <c r="W36" s="655">
        <f>'TABLE OUTPUTS'!AE37</f>
        <v>18.620621288930582</v>
      </c>
      <c r="X36" s="174"/>
      <c r="Y36" s="523">
        <f>'TABLE OUTPUTS'!F37</f>
        <v>4685.3900596601534</v>
      </c>
      <c r="Z36" s="656"/>
      <c r="AA36" s="523">
        <f>'TABLE OUTPUTS'!E37</f>
        <v>1824.0444064074484</v>
      </c>
      <c r="AB36" s="402"/>
      <c r="AC36" s="523">
        <f>'TABLE OUTPUTS'!B37</f>
        <v>615.80720452500714</v>
      </c>
      <c r="AD36" s="656"/>
      <c r="AE36" s="523">
        <f>'TABLE OUTPUTS'!S37</f>
        <v>0</v>
      </c>
      <c r="AF36" s="656"/>
      <c r="AG36" s="654">
        <f>'TABLE OUTPUTS'!R37</f>
        <v>2.1000000000000001E-2</v>
      </c>
      <c r="AH36" s="656"/>
      <c r="AI36" s="523">
        <f>'TABLE OUTPUTS'!X37</f>
        <v>9520.7868886121178</v>
      </c>
      <c r="AJ36" s="656"/>
      <c r="AK36" s="523">
        <f t="shared" si="41"/>
        <v>1373.5923296104611</v>
      </c>
      <c r="AL36" s="251"/>
      <c r="AM36" s="251"/>
      <c r="AN36" s="255"/>
      <c r="AO36" s="437">
        <f>'TABLE OUTPUTS'!K37</f>
        <v>268.91570000166752</v>
      </c>
      <c r="AP36" s="17"/>
      <c r="AQ36" s="453">
        <f>'TABLE OUTPUTS'!M37</f>
        <v>5790.0666892689469</v>
      </c>
      <c r="AR36" s="386"/>
      <c r="AS36" s="453">
        <f>'TABLE OUTPUTS'!J37</f>
        <v>1824.0444064074486</v>
      </c>
      <c r="AT36" s="251"/>
      <c r="AU36" s="437">
        <f>'TABLE OUTPUTS'!G37</f>
        <v>615.80720452500702</v>
      </c>
      <c r="AV36" s="175"/>
      <c r="AW36" s="523">
        <f>'TABLE OUTPUTS'!I37</f>
        <v>113.66355054731918</v>
      </c>
      <c r="AX36" s="487">
        <f>'Baseline Projection (Backup)'!D9/'Baseline Projection (Backup)'!$G9</f>
        <v>0.38584809028769335</v>
      </c>
      <c r="AY36" s="440">
        <f>'Baseline Projection (Backup)'!E9/'Baseline Projection (Backup)'!$G9</f>
        <v>0.56134975340021831</v>
      </c>
      <c r="AZ36" s="289">
        <f>'Baseline Projection (Backup)'!F9/'Baseline Projection (Backup)'!$G9</f>
        <v>5.2802156312088282E-2</v>
      </c>
      <c r="BA36" s="440">
        <f t="shared" si="33"/>
        <v>0.48952578854490081</v>
      </c>
      <c r="BB36" s="470">
        <v>0.3</v>
      </c>
      <c r="BC36" s="470">
        <v>0.6</v>
      </c>
      <c r="BD36" s="471">
        <v>0.7</v>
      </c>
      <c r="BE36" s="487">
        <f t="shared" ref="BE36:BE44" si="44">SUMPRODUCT(AX36:AZ36,BF36:BH36)</f>
        <v>3.2981180409677369</v>
      </c>
      <c r="BF36" s="470">
        <v>3.8</v>
      </c>
      <c r="BG36" s="470">
        <v>3</v>
      </c>
      <c r="BH36" s="471">
        <v>2.8</v>
      </c>
      <c r="BJ36" s="451"/>
    </row>
    <row r="37" spans="1:62" s="1" customFormat="1">
      <c r="A37" s="658">
        <v>2022</v>
      </c>
      <c r="B37" s="255">
        <f t="shared" si="36"/>
        <v>24896</v>
      </c>
      <c r="C37" s="653">
        <f t="shared" si="42"/>
        <v>1.7073396497200832</v>
      </c>
      <c r="D37" s="244"/>
      <c r="E37" s="246">
        <f>ROUND((1+0.06)*E36,0)</f>
        <v>4410336</v>
      </c>
      <c r="F37" s="402">
        <f t="shared" si="37"/>
        <v>37676.39837314366</v>
      </c>
      <c r="G37" s="245">
        <f t="shared" si="38"/>
        <v>61151.791268167428</v>
      </c>
      <c r="H37" s="18"/>
      <c r="I37" s="245">
        <f t="shared" si="39"/>
        <v>98828.189641311095</v>
      </c>
      <c r="J37" s="244"/>
      <c r="K37" s="653">
        <f t="shared" si="40"/>
        <v>44.626295554000912</v>
      </c>
      <c r="L37" s="17"/>
      <c r="M37" s="523">
        <f>'TABLE OUTPUTS'!E38/0.5</f>
        <v>3820.5062823626463</v>
      </c>
      <c r="N37" s="402"/>
      <c r="O37" s="523">
        <f>'TABLE OUTPUTS'!F38/0.9</f>
        <v>5435.3354843773004</v>
      </c>
      <c r="P37" s="402"/>
      <c r="Q37" s="246"/>
      <c r="R37" s="246"/>
      <c r="S37" s="246"/>
      <c r="T37" s="402"/>
      <c r="U37" s="654">
        <f>'TABLE OUTPUTS'!AF38</f>
        <v>2.8042628074054976</v>
      </c>
      <c r="V37" s="402"/>
      <c r="W37" s="655">
        <f>'TABLE OUTPUTS'!AE38</f>
        <v>19.279711964769469</v>
      </c>
      <c r="X37" s="174"/>
      <c r="Y37" s="523">
        <f>'TABLE OUTPUTS'!F38</f>
        <v>4891.8019359395703</v>
      </c>
      <c r="Z37" s="656"/>
      <c r="AA37" s="523">
        <f>'TABLE OUTPUTS'!E38</f>
        <v>1910.2531411813231</v>
      </c>
      <c r="AB37" s="402"/>
      <c r="AC37" s="523">
        <f>'TABLE OUTPUTS'!B38</f>
        <v>634.55465047247878</v>
      </c>
      <c r="AD37" s="656"/>
      <c r="AE37" s="523">
        <f>'TABLE OUTPUTS'!S38</f>
        <v>0</v>
      </c>
      <c r="AF37" s="656"/>
      <c r="AG37" s="654">
        <f>'TABLE OUTPUTS'!R38</f>
        <v>2.1000000000000001E-2</v>
      </c>
      <c r="AH37" s="656"/>
      <c r="AI37" s="523">
        <f>'TABLE OUTPUTS'!X38</f>
        <v>10093.182966741775</v>
      </c>
      <c r="AJ37" s="656"/>
      <c r="AK37" s="523">
        <f t="shared" si="41"/>
        <v>1464.2779296489816</v>
      </c>
      <c r="AL37" s="251"/>
      <c r="AM37" s="251"/>
      <c r="AN37" s="255"/>
      <c r="AO37" s="437">
        <f>'TABLE OUTPUTS'!K38</f>
        <v>277.84916322054409</v>
      </c>
      <c r="AP37" s="17"/>
      <c r="AQ37" s="453">
        <f>'TABLE OUTPUTS'!M38</f>
        <v>6078.2307023680078</v>
      </c>
      <c r="AR37" s="386"/>
      <c r="AS37" s="453">
        <f>'TABLE OUTPUTS'!J38</f>
        <v>1910.2531411813236</v>
      </c>
      <c r="AT37" s="251"/>
      <c r="AU37" s="437">
        <f>'TABLE OUTPUTS'!G38</f>
        <v>634.5546504724789</v>
      </c>
      <c r="AV37" s="175"/>
      <c r="AW37" s="523">
        <f>'TABLE OUTPUTS'!I38</f>
        <v>121.66103980911264</v>
      </c>
      <c r="AX37" s="487">
        <f>'Baseline Projection (Backup)'!D10/'Baseline Projection (Backup)'!$G10</f>
        <v>0.38018694651277396</v>
      </c>
      <c r="AY37" s="440">
        <f>'Baseline Projection (Backup)'!E10/'Baseline Projection (Backup)'!$G10</f>
        <v>0.56578641987525535</v>
      </c>
      <c r="AZ37" s="289">
        <f>'Baseline Projection (Backup)'!F10/'Baseline Projection (Backup)'!$G10</f>
        <v>5.4026633611970735E-2</v>
      </c>
      <c r="BA37" s="440">
        <f t="shared" si="33"/>
        <v>0.49134657940736493</v>
      </c>
      <c r="BB37" s="470">
        <v>0.3</v>
      </c>
      <c r="BC37" s="470">
        <v>0.6</v>
      </c>
      <c r="BD37" s="471">
        <v>0.7</v>
      </c>
      <c r="BE37" s="487">
        <f t="shared" si="44"/>
        <v>3.2933442304878251</v>
      </c>
      <c r="BF37" s="470">
        <v>3.8</v>
      </c>
      <c r="BG37" s="470">
        <v>3</v>
      </c>
      <c r="BH37" s="471">
        <v>2.8</v>
      </c>
      <c r="BJ37" s="451"/>
    </row>
    <row r="38" spans="1:62" s="1" customFormat="1">
      <c r="A38" s="658">
        <v>2023</v>
      </c>
      <c r="B38" s="255">
        <f t="shared" si="36"/>
        <v>25394</v>
      </c>
      <c r="C38" s="653">
        <f t="shared" si="42"/>
        <v>1.7585598392116857</v>
      </c>
      <c r="D38" s="244"/>
      <c r="E38" s="246">
        <f>ROUND((1+0.06)*E37,0)</f>
        <v>4674956</v>
      </c>
      <c r="F38" s="402">
        <f t="shared" si="37"/>
        <v>38704.479008996619</v>
      </c>
      <c r="G38" s="245">
        <f t="shared" si="38"/>
        <v>61230.994883083324</v>
      </c>
      <c r="H38" s="18"/>
      <c r="I38" s="245">
        <f t="shared" si="39"/>
        <v>99935.473892079943</v>
      </c>
      <c r="J38" s="244"/>
      <c r="K38" s="653">
        <f t="shared" si="40"/>
        <v>46.779745148839467</v>
      </c>
      <c r="L38" s="17"/>
      <c r="M38" s="523">
        <f>'TABLE OUTPUTS'!E39/0.5</f>
        <v>4016.83386995198</v>
      </c>
      <c r="N38" s="402"/>
      <c r="O38" s="523">
        <f>'TABLE OUTPUTS'!F39/0.9</f>
        <v>5691.8425963674235</v>
      </c>
      <c r="P38" s="402"/>
      <c r="Q38" s="246"/>
      <c r="R38" s="246"/>
      <c r="S38" s="246"/>
      <c r="T38" s="402"/>
      <c r="U38" s="654">
        <f>'TABLE OUTPUTS'!AF39</f>
        <v>2.8596553349843177</v>
      </c>
      <c r="V38" s="402"/>
      <c r="W38" s="655">
        <f>'TABLE OUTPUTS'!AE39</f>
        <v>20.040781058767664</v>
      </c>
      <c r="X38" s="174"/>
      <c r="Y38" s="523">
        <f>'TABLE OUTPUTS'!F39</f>
        <v>5122.6583367306812</v>
      </c>
      <c r="Z38" s="656"/>
      <c r="AA38" s="523">
        <f>'TABLE OUTPUTS'!E39</f>
        <v>2008.41693497599</v>
      </c>
      <c r="AB38" s="402"/>
      <c r="AC38" s="523">
        <f>'TABLE OUTPUTS'!B39</f>
        <v>653.84648730446588</v>
      </c>
      <c r="AD38" s="656"/>
      <c r="AE38" s="523">
        <f>'TABLE OUTPUTS'!S39</f>
        <v>0</v>
      </c>
      <c r="AF38" s="656"/>
      <c r="AG38" s="654">
        <f>'TABLE OUTPUTS'!R39</f>
        <v>2.1000000000000001E-2</v>
      </c>
      <c r="AH38" s="656"/>
      <c r="AI38" s="523">
        <f>'TABLE OUTPUTS'!X39</f>
        <v>10711.528369364341</v>
      </c>
      <c r="AJ38" s="656"/>
      <c r="AK38" s="523">
        <f t="shared" si="41"/>
        <v>1573.1550971438846</v>
      </c>
      <c r="AL38" s="251"/>
      <c r="AM38" s="251"/>
      <c r="AN38" s="255"/>
      <c r="AO38" s="437">
        <f>'TABLE OUTPUTS'!K39</f>
        <v>286.58464887845588</v>
      </c>
      <c r="AP38" s="17"/>
      <c r="AQ38" s="453">
        <f>'TABLE OUTPUTS'!M39</f>
        <v>6409.2287849961103</v>
      </c>
      <c r="AR38" s="386"/>
      <c r="AS38" s="453">
        <f>'TABLE OUTPUTS'!J39</f>
        <v>2008.4169349759895</v>
      </c>
      <c r="AT38" s="251"/>
      <c r="AU38" s="437">
        <f>'TABLE OUTPUTS'!G39</f>
        <v>653.84648730446588</v>
      </c>
      <c r="AV38" s="175"/>
      <c r="AW38" s="523">
        <f>'TABLE OUTPUTS'!I39</f>
        <v>131.26619476387933</v>
      </c>
      <c r="AX38" s="487">
        <f>'Baseline Projection (Backup)'!D11/'Baseline Projection (Backup)'!$G11</f>
        <v>0.3732320429014151</v>
      </c>
      <c r="AY38" s="440">
        <f>'Baseline Projection (Backup)'!E11/'Baseline Projection (Backup)'!$G11</f>
        <v>0.57124698268537111</v>
      </c>
      <c r="AZ38" s="289">
        <f>'Baseline Projection (Backup)'!F11/'Baseline Projection (Backup)'!$G11</f>
        <v>5.5520974413213915E-2</v>
      </c>
      <c r="BA38" s="440">
        <f t="shared" si="33"/>
        <v>0.49358248457089693</v>
      </c>
      <c r="BB38" s="470">
        <v>0.3</v>
      </c>
      <c r="BC38" s="470">
        <v>0.6</v>
      </c>
      <c r="BD38" s="471">
        <v>0.7</v>
      </c>
      <c r="BE38" s="487">
        <f t="shared" si="44"/>
        <v>3.2874814394384897</v>
      </c>
      <c r="BF38" s="470">
        <v>3.8</v>
      </c>
      <c r="BG38" s="470">
        <v>3</v>
      </c>
      <c r="BH38" s="471">
        <v>2.8</v>
      </c>
      <c r="BJ38" s="451"/>
    </row>
    <row r="39" spans="1:62" s="1" customFormat="1">
      <c r="A39" s="658">
        <v>2024</v>
      </c>
      <c r="B39" s="255">
        <f t="shared" si="36"/>
        <v>25902</v>
      </c>
      <c r="C39" s="653">
        <f t="shared" si="42"/>
        <v>1.8113166343880363</v>
      </c>
      <c r="D39" s="244"/>
      <c r="E39" s="246">
        <f t="shared" si="43"/>
        <v>4955453</v>
      </c>
      <c r="F39" s="402">
        <f t="shared" si="37"/>
        <v>39760.61301086795</v>
      </c>
      <c r="G39" s="245">
        <f t="shared" si="38"/>
        <v>61310.301082281469</v>
      </c>
      <c r="H39" s="18"/>
      <c r="I39" s="245">
        <f t="shared" si="39"/>
        <v>101070.91409314942</v>
      </c>
      <c r="J39" s="244"/>
      <c r="K39" s="653">
        <f t="shared" si="40"/>
        <v>49.029466533101044</v>
      </c>
      <c r="L39" s="17"/>
      <c r="M39" s="523">
        <f>'TABLE OUTPUTS'!E40/0.5</f>
        <v>4240.0989653631032</v>
      </c>
      <c r="N39" s="402"/>
      <c r="O39" s="523">
        <f>'TABLE OUTPUTS'!F40/0.9</f>
        <v>5985.1607005557735</v>
      </c>
      <c r="P39" s="402"/>
      <c r="Q39" s="246"/>
      <c r="R39" s="246"/>
      <c r="S39" s="246"/>
      <c r="T39" s="402"/>
      <c r="U39" s="654">
        <f>'TABLE OUTPUTS'!AF40</f>
        <v>2.9040983194832055</v>
      </c>
      <c r="V39" s="402"/>
      <c r="W39" s="655">
        <f>'TABLE OUTPUTS'!AE40</f>
        <v>20.914984375110876</v>
      </c>
      <c r="X39" s="174"/>
      <c r="Y39" s="523">
        <f>'TABLE OUTPUTS'!F40</f>
        <v>5386.6446305001964</v>
      </c>
      <c r="Z39" s="656"/>
      <c r="AA39" s="523">
        <f>'TABLE OUTPUTS'!E40</f>
        <v>2120.0494826815516</v>
      </c>
      <c r="AB39" s="402"/>
      <c r="AC39" s="523">
        <f>'TABLE OUTPUTS'!B40</f>
        <v>673.64820406833246</v>
      </c>
      <c r="AD39" s="656"/>
      <c r="AE39" s="523">
        <f>'TABLE OUTPUTS'!S40</f>
        <v>0</v>
      </c>
      <c r="AF39" s="656"/>
      <c r="AG39" s="654">
        <f>'TABLE OUTPUTS'!R40</f>
        <v>2.1000000000000001E-2</v>
      </c>
      <c r="AH39" s="656"/>
      <c r="AI39" s="523">
        <f>'TABLE OUTPUTS'!X40</f>
        <v>11364.207944778924</v>
      </c>
      <c r="AJ39" s="656"/>
      <c r="AK39" s="523">
        <f t="shared" si="41"/>
        <v>1696.3753542476907</v>
      </c>
      <c r="AL39" s="251"/>
      <c r="AM39" s="251"/>
      <c r="AN39" s="255"/>
      <c r="AO39" s="437">
        <f>'TABLE OUTPUTS'!K40</f>
        <v>294.37421656424709</v>
      </c>
      <c r="AP39" s="17"/>
      <c r="AQ39" s="453">
        <f>'TABLE OUTPUTS'!M40</f>
        <v>6788.64576818364</v>
      </c>
      <c r="AR39" s="386"/>
      <c r="AS39" s="453">
        <f>'TABLE OUTPUTS'!J40</f>
        <v>2120.0494826815516</v>
      </c>
      <c r="AT39" s="251"/>
      <c r="AU39" s="437">
        <f>'TABLE OUTPUTS'!G40</f>
        <v>673.64820406833235</v>
      </c>
      <c r="AV39" s="175"/>
      <c r="AW39" s="523">
        <f>'TABLE OUTPUTS'!I40</f>
        <v>142.76018718829039</v>
      </c>
      <c r="AX39" s="487">
        <f>'Baseline Projection (Backup)'!D12/'Baseline Projection (Backup)'!$G12</f>
        <v>0.36501418435624039</v>
      </c>
      <c r="AY39" s="440">
        <f>'Baseline Projection (Backup)'!E12/'Baseline Projection (Backup)'!$G12</f>
        <v>0.57768738048174173</v>
      </c>
      <c r="AZ39" s="289">
        <f>'Baseline Projection (Backup)'!F12/'Baseline Projection (Backup)'!$G12</f>
        <v>5.7298435162017977E-2</v>
      </c>
      <c r="BA39" s="440">
        <f t="shared" si="33"/>
        <v>0.49622558820932977</v>
      </c>
      <c r="BB39" s="470">
        <v>0.3</v>
      </c>
      <c r="BC39" s="470">
        <v>0.6</v>
      </c>
      <c r="BD39" s="471">
        <v>0.7</v>
      </c>
      <c r="BE39" s="487">
        <f t="shared" si="44"/>
        <v>3.2805516604525891</v>
      </c>
      <c r="BF39" s="470">
        <v>3.8</v>
      </c>
      <c r="BG39" s="470">
        <v>3</v>
      </c>
      <c r="BH39" s="471">
        <v>2.8</v>
      </c>
      <c r="BJ39" s="451"/>
    </row>
    <row r="40" spans="1:62" s="1" customFormat="1">
      <c r="A40" s="659">
        <v>2025</v>
      </c>
      <c r="B40" s="660">
        <f t="shared" si="36"/>
        <v>26420</v>
      </c>
      <c r="C40" s="661">
        <f t="shared" si="42"/>
        <v>1.8656561334196773</v>
      </c>
      <c r="D40" s="662"/>
      <c r="E40" s="386">
        <f t="shared" si="43"/>
        <v>5252780</v>
      </c>
      <c r="F40" s="402">
        <f t="shared" si="37"/>
        <v>40845.565874495551</v>
      </c>
      <c r="G40" s="245">
        <f t="shared" si="38"/>
        <v>61389.709998628721</v>
      </c>
      <c r="H40" s="663"/>
      <c r="I40" s="453">
        <v>101622.49192608356</v>
      </c>
      <c r="J40" s="244"/>
      <c r="K40" s="653">
        <f t="shared" si="40"/>
        <v>51.689147751077371</v>
      </c>
      <c r="L40" s="17"/>
      <c r="M40" s="523">
        <f>'TABLE OUTPUTS'!E41/0.5</f>
        <v>4494.3251170243911</v>
      </c>
      <c r="N40" s="402"/>
      <c r="O40" s="523">
        <f>'TABLE OUTPUTS'!F41/0.9</f>
        <v>6319.7291149322728</v>
      </c>
      <c r="P40" s="402"/>
      <c r="Q40" s="246"/>
      <c r="R40" s="246"/>
      <c r="S40" s="246"/>
      <c r="T40" s="402"/>
      <c r="U40" s="654">
        <f>'TABLE OUTPUTS'!AF41</f>
        <v>2.9378138272807908</v>
      </c>
      <c r="V40" s="402"/>
      <c r="W40" s="655">
        <f>'TABLE OUTPUTS'!AE41</f>
        <v>21.91780645170039</v>
      </c>
      <c r="X40" s="174"/>
      <c r="Y40" s="523">
        <f>'TABLE OUTPUTS'!F41</f>
        <v>5687.7562034390457</v>
      </c>
      <c r="Z40" s="656"/>
      <c r="AA40" s="523">
        <f>'TABLE OUTPUTS'!E41</f>
        <v>2247.1625585121956</v>
      </c>
      <c r="AB40" s="402"/>
      <c r="AC40" s="523">
        <f>'TABLE OUTPUTS'!B41</f>
        <v>693.98581658391402</v>
      </c>
      <c r="AD40" s="656"/>
      <c r="AE40" s="523">
        <f>'TABLE OUTPUTS'!S41</f>
        <v>0</v>
      </c>
      <c r="AF40" s="656"/>
      <c r="AG40" s="654">
        <f>'TABLE OUTPUTS'!R41</f>
        <v>2.1000000000000001E-2</v>
      </c>
      <c r="AH40" s="656"/>
      <c r="AI40" s="523">
        <f>'TABLE OUTPUTS'!X41</f>
        <v>12058.843385069709</v>
      </c>
      <c r="AJ40" s="656"/>
      <c r="AK40" s="523">
        <f t="shared" si="41"/>
        <v>1837.2529774143941</v>
      </c>
      <c r="AL40" s="251"/>
      <c r="AM40" s="251"/>
      <c r="AN40" s="255"/>
      <c r="AO40" s="437">
        <f>'TABLE OUTPUTS'!K41</f>
        <v>301.20465070685219</v>
      </c>
      <c r="AP40" s="17"/>
      <c r="AQ40" s="453">
        <f>'TABLE OUTPUTS'!M41</f>
        <v>7223.8045301465872</v>
      </c>
      <c r="AR40" s="386"/>
      <c r="AS40" s="453">
        <f>'TABLE OUTPUTS'!J41</f>
        <v>2247.1625585121956</v>
      </c>
      <c r="AT40" s="251"/>
      <c r="AU40" s="437">
        <f>'TABLE OUTPUTS'!G41</f>
        <v>693.9858165839139</v>
      </c>
      <c r="AV40" s="175"/>
      <c r="AW40" s="523">
        <f>'TABLE OUTPUTS'!I41</f>
        <v>156.50186685453079</v>
      </c>
      <c r="AX40" s="487">
        <f>'Baseline Projection (Backup)'!D13/'Baseline Projection (Backup)'!$G13</f>
        <v>0.35557049113939893</v>
      </c>
      <c r="AY40" s="440">
        <f>'Baseline Projection (Backup)'!E13/'Baseline Projection (Backup)'!$G13</f>
        <v>0.58505460552565158</v>
      </c>
      <c r="AZ40" s="289">
        <f>'Baseline Projection (Backup)'!F13/'Baseline Projection (Backup)'!$G13</f>
        <v>5.9374903334949415E-2</v>
      </c>
      <c r="BA40" s="440">
        <f t="shared" si="33"/>
        <v>0.49926634299167522</v>
      </c>
      <c r="BB40" s="470">
        <v>0.3</v>
      </c>
      <c r="BC40" s="470">
        <v>0.6</v>
      </c>
      <c r="BD40" s="471">
        <v>0.7</v>
      </c>
      <c r="BE40" s="487">
        <f t="shared" si="44"/>
        <v>3.2725814122445289</v>
      </c>
      <c r="BF40" s="470">
        <v>3.8</v>
      </c>
      <c r="BG40" s="470">
        <v>3</v>
      </c>
      <c r="BH40" s="471">
        <v>2.8</v>
      </c>
      <c r="BJ40" s="451"/>
    </row>
    <row r="41" spans="1:62" s="1" customFormat="1">
      <c r="A41" s="658">
        <v>2026</v>
      </c>
      <c r="B41" s="255">
        <f t="shared" si="36"/>
        <v>26948</v>
      </c>
      <c r="C41" s="653">
        <f t="shared" si="42"/>
        <v>1.9216258174222676</v>
      </c>
      <c r="D41" s="244"/>
      <c r="E41" s="246">
        <f t="shared" si="43"/>
        <v>5567947</v>
      </c>
      <c r="F41" s="402">
        <f t="shared" si="37"/>
        <v>41960.123983796097</v>
      </c>
      <c r="G41" s="245">
        <f t="shared" si="38"/>
        <v>61469.221765164017</v>
      </c>
      <c r="H41" s="18"/>
      <c r="I41" s="245">
        <f t="shared" si="39"/>
        <v>103429.34574896011</v>
      </c>
      <c r="J41" s="244"/>
      <c r="K41" s="653">
        <f t="shared" si="40"/>
        <v>53.833338688173811</v>
      </c>
      <c r="L41" s="17"/>
      <c r="M41" s="523">
        <f>'TABLE OUTPUTS'!E42/0.5</f>
        <v>4784.4962119270394</v>
      </c>
      <c r="N41" s="402"/>
      <c r="O41" s="523">
        <f>'TABLE OUTPUTS'!F42/0.9</f>
        <v>6695.6519133492466</v>
      </c>
      <c r="P41" s="402"/>
      <c r="Q41" s="246"/>
      <c r="R41" s="246"/>
      <c r="S41" s="246"/>
      <c r="T41" s="402"/>
      <c r="U41" s="654">
        <f>'TABLE OUTPUTS'!AF42</f>
        <v>2.9597562583697266</v>
      </c>
      <c r="V41" s="402"/>
      <c r="W41" s="655">
        <f>'TABLE OUTPUTS'!AE42</f>
        <v>23.068530208381333</v>
      </c>
      <c r="X41" s="174"/>
      <c r="Y41" s="523">
        <f>'TABLE OUTPUTS'!F42</f>
        <v>6026.0867220143218</v>
      </c>
      <c r="Z41" s="656"/>
      <c r="AA41" s="523">
        <f>'TABLE OUTPUTS'!E42</f>
        <v>2392.2481059635197</v>
      </c>
      <c r="AB41" s="402"/>
      <c r="AC41" s="523">
        <f>'TABLE OUTPUTS'!B42</f>
        <v>714.90646463127723</v>
      </c>
      <c r="AD41" s="656"/>
      <c r="AE41" s="523">
        <f>'TABLE OUTPUTS'!S42</f>
        <v>0</v>
      </c>
      <c r="AF41" s="656"/>
      <c r="AG41" s="654">
        <f>'TABLE OUTPUTS'!R42</f>
        <v>2.1000000000000001E-2</v>
      </c>
      <c r="AH41" s="656"/>
      <c r="AI41" s="523">
        <f>'TABLE OUTPUTS'!X42</f>
        <v>12810.912899113768</v>
      </c>
      <c r="AJ41" s="656"/>
      <c r="AK41" s="523">
        <f t="shared" si="41"/>
        <v>2004.6040066385585</v>
      </c>
      <c r="AL41" s="251"/>
      <c r="AM41" s="251"/>
      <c r="AN41" s="255"/>
      <c r="AO41" s="437">
        <f>'TABLE OUTPUTS'!K42</f>
        <v>306.93205155420571</v>
      </c>
      <c r="AP41" s="17"/>
      <c r="AQ41" s="453">
        <f>'TABLE OUTPUTS'!M42</f>
        <v>7723.7586770986745</v>
      </c>
      <c r="AR41" s="386"/>
      <c r="AS41" s="453">
        <f>'TABLE OUTPUTS'!J42</f>
        <v>2392.2481059635193</v>
      </c>
      <c r="AT41" s="251"/>
      <c r="AU41" s="437">
        <f>'TABLE OUTPUTS'!G42</f>
        <v>714.90646463127723</v>
      </c>
      <c r="AV41" s="175"/>
      <c r="AW41" s="523">
        <f>'TABLE OUTPUTS'!I42</f>
        <v>172.94384044777888</v>
      </c>
      <c r="AX41" s="487">
        <f>'Baseline Projection (Backup)'!D14/'Baseline Projection (Backup)'!$G14</f>
        <v>0.34494623638055949</v>
      </c>
      <c r="AY41" s="440">
        <f>'Baseline Projection (Backup)'!E14/'Baseline Projection (Backup)'!$G14</f>
        <v>0.59328512631937869</v>
      </c>
      <c r="AZ41" s="289">
        <f>'Baseline Projection (Backup)'!F14/'Baseline Projection (Backup)'!$G14</f>
        <v>6.1768637300061796E-2</v>
      </c>
      <c r="BA41" s="440">
        <f t="shared" si="33"/>
        <v>0.50269299281583824</v>
      </c>
      <c r="BB41" s="470">
        <v>0.3</v>
      </c>
      <c r="BC41" s="470">
        <v>0.6</v>
      </c>
      <c r="BD41" s="471">
        <v>0.7</v>
      </c>
      <c r="BE41" s="487">
        <f t="shared" si="44"/>
        <v>3.2636032616444348</v>
      </c>
      <c r="BF41" s="470">
        <v>3.8</v>
      </c>
      <c r="BG41" s="470">
        <v>3</v>
      </c>
      <c r="BH41" s="471">
        <v>2.8</v>
      </c>
      <c r="BJ41" s="451"/>
    </row>
    <row r="42" spans="1:62" s="1" customFormat="1">
      <c r="A42" s="658">
        <v>2027</v>
      </c>
      <c r="B42" s="255">
        <f t="shared" si="36"/>
        <v>27487</v>
      </c>
      <c r="C42" s="653">
        <f t="shared" si="42"/>
        <v>1.9792745919449357</v>
      </c>
      <c r="D42" s="244"/>
      <c r="E42" s="246">
        <f t="shared" si="43"/>
        <v>5902024</v>
      </c>
      <c r="F42" s="402">
        <f t="shared" si="37"/>
        <v>43105.095180843418</v>
      </c>
      <c r="G42" s="245">
        <f t="shared" si="38"/>
        <v>61548.836515098614</v>
      </c>
      <c r="H42" s="18"/>
      <c r="I42" s="245">
        <f t="shared" si="39"/>
        <v>104653.93169594204</v>
      </c>
      <c r="J42" s="244"/>
      <c r="K42" s="653">
        <f t="shared" si="40"/>
        <v>56.395626082616168</v>
      </c>
      <c r="L42" s="17"/>
      <c r="M42" s="523">
        <f>'TABLE OUTPUTS'!E43/0.5</f>
        <v>5116.3434648739822</v>
      </c>
      <c r="N42" s="402"/>
      <c r="O42" s="523">
        <f>'TABLE OUTPUTS'!F43/0.9</f>
        <v>7123.1057485842975</v>
      </c>
      <c r="P42" s="402"/>
      <c r="Q42" s="246"/>
      <c r="R42" s="246"/>
      <c r="S42" s="246"/>
      <c r="T42" s="402"/>
      <c r="U42" s="654">
        <f>'TABLE OUTPUTS'!AF43</f>
        <v>2.9676538521247493</v>
      </c>
      <c r="V42" s="402"/>
      <c r="W42" s="655">
        <f>'TABLE OUTPUTS'!AE43</f>
        <v>24.389021028989244</v>
      </c>
      <c r="X42" s="174"/>
      <c r="Y42" s="523">
        <f>'TABLE OUTPUTS'!F43</f>
        <v>6410.7951737258682</v>
      </c>
      <c r="Z42" s="656"/>
      <c r="AA42" s="523">
        <f>'TABLE OUTPUTS'!E43</f>
        <v>2558.1717324369911</v>
      </c>
      <c r="AB42" s="402"/>
      <c r="AC42" s="523">
        <f>'TABLE OUTPUTS'!B43</f>
        <v>736.39752644285272</v>
      </c>
      <c r="AD42" s="656"/>
      <c r="AE42" s="523">
        <f>'TABLE OUTPUTS'!S43</f>
        <v>0</v>
      </c>
      <c r="AF42" s="656"/>
      <c r="AG42" s="654">
        <f>'TABLE OUTPUTS'!R43</f>
        <v>2.1000000000000001E-2</v>
      </c>
      <c r="AH42" s="656"/>
      <c r="AI42" s="523">
        <f>'TABLE OUTPUTS'!X43</f>
        <v>13615.732748798306</v>
      </c>
      <c r="AJ42" s="656"/>
      <c r="AK42" s="523">
        <f t="shared" si="41"/>
        <v>2199.501002590292</v>
      </c>
      <c r="AL42" s="251"/>
      <c r="AM42" s="251"/>
      <c r="AN42" s="255"/>
      <c r="AO42" s="437">
        <f>'TABLE OUTPUTS'!K43</f>
        <v>311.27810284552061</v>
      </c>
      <c r="AP42" s="17"/>
      <c r="AQ42" s="453">
        <f>'TABLE OUTPUTS'!M43</f>
        <v>8299.0180734706391</v>
      </c>
      <c r="AR42" s="386"/>
      <c r="AS42" s="453">
        <f>'TABLE OUTPUTS'!J43</f>
        <v>2558.1717324369906</v>
      </c>
      <c r="AT42" s="251"/>
      <c r="AU42" s="437">
        <f>'TABLE OUTPUTS'!G43</f>
        <v>736.39752644285272</v>
      </c>
      <c r="AV42" s="175"/>
      <c r="AW42" s="523">
        <f>'TABLE OUTPUTS'!I43</f>
        <v>192.63928625636655</v>
      </c>
      <c r="AX42" s="487">
        <f>'Baseline Projection (Backup)'!D15/'Baseline Projection (Backup)'!$G15</f>
        <v>0.33312717115664159</v>
      </c>
      <c r="AY42" s="440">
        <f>'Baseline Projection (Backup)'!E15/'Baseline Projection (Backup)'!$G15</f>
        <v>0.6021418744625473</v>
      </c>
      <c r="AZ42" s="289">
        <f>'Baseline Projection (Backup)'!F15/'Baseline Projection (Backup)'!$G15</f>
        <v>6.4730954380811043E-2</v>
      </c>
      <c r="BA42" s="440">
        <f t="shared" si="33"/>
        <v>0.50653494409108857</v>
      </c>
      <c r="BB42" s="470">
        <v>0.3</v>
      </c>
      <c r="BC42" s="470">
        <v>0.6</v>
      </c>
      <c r="BD42" s="471">
        <v>0.7</v>
      </c>
      <c r="BE42" s="487">
        <f t="shared" si="44"/>
        <v>3.2535555460491508</v>
      </c>
      <c r="BF42" s="470">
        <v>3.8</v>
      </c>
      <c r="BG42" s="470">
        <v>3</v>
      </c>
      <c r="BH42" s="471">
        <v>2.8</v>
      </c>
      <c r="BJ42" s="451"/>
    </row>
    <row r="43" spans="1:62" s="1" customFormat="1">
      <c r="A43" s="658">
        <v>2028</v>
      </c>
      <c r="B43" s="255">
        <f>ROUND((1+B$47)*B42,0)</f>
        <v>28037</v>
      </c>
      <c r="C43" s="653">
        <f t="shared" si="42"/>
        <v>2.0386528297032838</v>
      </c>
      <c r="D43" s="244"/>
      <c r="E43" s="246">
        <f t="shared" si="43"/>
        <v>6256145</v>
      </c>
      <c r="F43" s="402">
        <f t="shared" si="37"/>
        <v>44281.309351399927</v>
      </c>
      <c r="G43" s="245">
        <f t="shared" si="38"/>
        <v>61628.554381816291</v>
      </c>
      <c r="H43" s="18"/>
      <c r="I43" s="245">
        <f t="shared" si="39"/>
        <v>105909.86373321622</v>
      </c>
      <c r="J43" s="244"/>
      <c r="K43" s="653">
        <f t="shared" si="40"/>
        <v>59.070465955456633</v>
      </c>
      <c r="L43" s="17"/>
      <c r="M43" s="523">
        <f>'TABLE OUTPUTS'!E44/0.5</f>
        <v>5498.1625651467275</v>
      </c>
      <c r="N43" s="402"/>
      <c r="O43" s="523">
        <f>'TABLE OUTPUTS'!F44/0.9</f>
        <v>7612.3459354962806</v>
      </c>
      <c r="P43" s="402"/>
      <c r="Q43" s="246"/>
      <c r="R43" s="246"/>
      <c r="S43" s="246"/>
      <c r="T43" s="402"/>
      <c r="U43" s="654">
        <f>'TABLE OUTPUTS'!AF44</f>
        <v>2.96375086926562</v>
      </c>
      <c r="V43" s="402"/>
      <c r="W43" s="655">
        <f>'TABLE OUTPUTS'!AE44</f>
        <v>25.902895425544465</v>
      </c>
      <c r="X43" s="174"/>
      <c r="Y43" s="523">
        <f>'TABLE OUTPUTS'!F44</f>
        <v>6851.1113419466528</v>
      </c>
      <c r="Z43" s="656"/>
      <c r="AA43" s="523">
        <f>'TABLE OUTPUTS'!E44</f>
        <v>2749.0812825733638</v>
      </c>
      <c r="AB43" s="402"/>
      <c r="AC43" s="523">
        <f>'TABLE OUTPUTS'!B44</f>
        <v>758.56228617169859</v>
      </c>
      <c r="AD43" s="656"/>
      <c r="AE43" s="523">
        <f>'TABLE OUTPUTS'!S44</f>
        <v>0</v>
      </c>
      <c r="AF43" s="656"/>
      <c r="AG43" s="654">
        <f>'TABLE OUTPUTS'!R44</f>
        <v>1.0019399283301895</v>
      </c>
      <c r="AH43" s="656"/>
      <c r="AI43" s="523">
        <f>'TABLE OUTPUTS'!X44</f>
        <v>14512.196497083509</v>
      </c>
      <c r="AJ43" s="656"/>
      <c r="AK43" s="523">
        <f t="shared" si="41"/>
        <v>2428.0788660512371</v>
      </c>
      <c r="AL43" s="251"/>
      <c r="AM43" s="251"/>
      <c r="AN43" s="255"/>
      <c r="AO43" s="437">
        <f>'TABLE OUTPUTS'!K44</f>
        <v>314.43144272247588</v>
      </c>
      <c r="AP43" s="17"/>
      <c r="AQ43" s="453">
        <f>'TABLE OUTPUTS'!M44</f>
        <v>8964.7587652754137</v>
      </c>
      <c r="AR43" s="386"/>
      <c r="AS43" s="453">
        <f>'TABLE OUTPUTS'!J44</f>
        <v>2748.1003426450334</v>
      </c>
      <c r="AT43" s="251"/>
      <c r="AU43" s="437">
        <f>'TABLE OUTPUTS'!G44</f>
        <v>758.56228617169847</v>
      </c>
      <c r="AV43" s="175"/>
      <c r="AW43" s="523">
        <f>'TABLE OUTPUTS'!I44</f>
        <v>215.79520306524932</v>
      </c>
      <c r="AX43" s="487">
        <f>'Baseline Projection (Backup)'!D16/'Baseline Projection (Backup)'!$G16</f>
        <v>0.31963872183961495</v>
      </c>
      <c r="AY43" s="440">
        <f>'Baseline Projection (Backup)'!E16/'Baseline Projection (Backup)'!$G16</f>
        <v>0.61053198111955265</v>
      </c>
      <c r="AZ43" s="289">
        <f>'Baseline Projection (Backup)'!F16/'Baseline Projection (Backup)'!$G16</f>
        <v>6.98292970408326E-2</v>
      </c>
      <c r="BA43" s="440">
        <f t="shared" si="33"/>
        <v>0.51109131315219891</v>
      </c>
      <c r="BB43" s="470">
        <v>0.3</v>
      </c>
      <c r="BC43" s="470">
        <v>0.6</v>
      </c>
      <c r="BD43" s="471">
        <v>0.7</v>
      </c>
      <c r="BE43" s="487">
        <f t="shared" si="44"/>
        <v>3.2417451180635259</v>
      </c>
      <c r="BF43" s="470">
        <v>3.8</v>
      </c>
      <c r="BG43" s="470">
        <v>3</v>
      </c>
      <c r="BH43" s="471">
        <v>2.8</v>
      </c>
      <c r="BJ43" s="451"/>
    </row>
    <row r="44" spans="1:62" s="1" customFormat="1">
      <c r="A44" s="658">
        <v>2029</v>
      </c>
      <c r="B44" s="255">
        <f>ROUND((1+B$47)*B43,0)</f>
        <v>28598</v>
      </c>
      <c r="C44" s="653">
        <f t="shared" si="42"/>
        <v>2.0998124145943824</v>
      </c>
      <c r="D44" s="244"/>
      <c r="E44" s="246">
        <f>ROUND((1+0.06)*E43,0)</f>
        <v>6631514</v>
      </c>
      <c r="F44" s="402">
        <f t="shared" si="37"/>
        <v>45489.619026425542</v>
      </c>
      <c r="G44" s="245">
        <f t="shared" si="38"/>
        <v>61708.375498873604</v>
      </c>
      <c r="H44" s="18"/>
      <c r="I44" s="245">
        <f t="shared" si="39"/>
        <v>107197.99452529915</v>
      </c>
      <c r="J44" s="244"/>
      <c r="K44" s="653">
        <f>E44/I44</f>
        <v>61.862295366308715</v>
      </c>
      <c r="L44" s="17"/>
      <c r="M44" s="523">
        <f>'TABLE OUTPUTS'!E45/0.5</f>
        <v>5957.0821135107708</v>
      </c>
      <c r="N44" s="402"/>
      <c r="O44" s="523">
        <f>'TABLE OUTPUTS'!F45/0.9</f>
        <v>8188.4901431036224</v>
      </c>
      <c r="P44" s="402"/>
      <c r="Q44" s="246"/>
      <c r="R44" s="246"/>
      <c r="S44" s="246"/>
      <c r="T44" s="402"/>
      <c r="U44" s="654">
        <f>'TABLE OUTPUTS'!AF45</f>
        <v>2.9964736760605106</v>
      </c>
      <c r="V44" s="402"/>
      <c r="W44" s="655">
        <f>'TABLE OUTPUTS'!AE45</f>
        <v>27.571994622231667</v>
      </c>
      <c r="X44" s="174"/>
      <c r="Y44" s="523">
        <f>'TABLE OUTPUTS'!F45</f>
        <v>7369.6411287932606</v>
      </c>
      <c r="Z44" s="656"/>
      <c r="AA44" s="523">
        <f>'TABLE OUTPUTS'!E45</f>
        <v>2978.5410567553854</v>
      </c>
      <c r="AB44" s="402"/>
      <c r="AC44" s="523">
        <f>'TABLE OUTPUTS'!B45</f>
        <v>781.51580183436761</v>
      </c>
      <c r="AD44" s="656"/>
      <c r="AE44" s="523">
        <f>'TABLE OUTPUTS'!S45</f>
        <v>0</v>
      </c>
      <c r="AF44" s="656"/>
      <c r="AG44" s="654">
        <f>'TABLE OUTPUTS'!R45</f>
        <v>19.858186234562361</v>
      </c>
      <c r="AH44" s="656"/>
      <c r="AI44" s="523">
        <f>'TABLE OUTPUTS'!X45</f>
        <v>15734.950057500333</v>
      </c>
      <c r="AJ44" s="656"/>
      <c r="AK44" s="523">
        <f t="shared" si="41"/>
        <v>2724.619344406362</v>
      </c>
      <c r="AL44" s="251"/>
      <c r="AM44" s="251"/>
      <c r="AN44" s="255"/>
      <c r="AO44" s="437">
        <f>'TABLE OUTPUTS'!K45</f>
        <v>321.5464961728041</v>
      </c>
      <c r="AP44" s="17"/>
      <c r="AQ44" s="453">
        <f>'TABLE OUTPUTS'!M45</f>
        <v>9772.7139770268186</v>
      </c>
      <c r="AR44" s="386"/>
      <c r="AS44" s="453">
        <f>'TABLE OUTPUTS'!J45</f>
        <v>2958.7038705208224</v>
      </c>
      <c r="AT44" s="251"/>
      <c r="AU44" s="437">
        <f>'TABLE OUTPUTS'!G45</f>
        <v>781.51580183436738</v>
      </c>
      <c r="AV44" s="175"/>
      <c r="AW44" s="523">
        <f>'TABLE OUTPUTS'!I45</f>
        <v>235.05978604292426</v>
      </c>
      <c r="AX44" s="487">
        <f>'Baseline Projection (Backup)'!D17/'Baseline Projection (Backup)'!$G17</f>
        <v>0.3052257237998055</v>
      </c>
      <c r="AY44" s="440">
        <f>'Baseline Projection (Backup)'!E17/'Baseline Projection (Backup)'!$G17</f>
        <v>0.61937078155624348</v>
      </c>
      <c r="AZ44" s="289">
        <f>'Baseline Projection (Backup)'!F17/'Baseline Projection (Backup)'!$G17</f>
        <v>7.540349464395095E-2</v>
      </c>
      <c r="BA44" s="440">
        <f t="shared" si="33"/>
        <v>0.51597263232445334</v>
      </c>
      <c r="BB44" s="470">
        <v>0.3</v>
      </c>
      <c r="BC44" s="470">
        <v>0.6</v>
      </c>
      <c r="BD44" s="471">
        <v>0.7</v>
      </c>
      <c r="BE44" s="487">
        <f t="shared" si="44"/>
        <v>3.229099880111054</v>
      </c>
      <c r="BF44" s="470">
        <v>3.8</v>
      </c>
      <c r="BG44" s="470">
        <v>3</v>
      </c>
      <c r="BH44" s="471">
        <v>2.8</v>
      </c>
      <c r="BJ44" s="451"/>
    </row>
    <row r="45" spans="1:62" s="1" customFormat="1" ht="17" thickBot="1">
      <c r="A45" s="664">
        <v>2030</v>
      </c>
      <c r="B45" s="665">
        <f>ROUND((1+B$47)*B44,0)</f>
        <v>29170</v>
      </c>
      <c r="C45" s="666">
        <f t="shared" si="42"/>
        <v>2.1628067870322139</v>
      </c>
      <c r="D45" s="46"/>
      <c r="E45" s="667">
        <f>ROUND((1+0.06)*E44,0)</f>
        <v>7029405</v>
      </c>
      <c r="F45" s="668">
        <v>46730.9</v>
      </c>
      <c r="G45" s="669">
        <v>61788.3</v>
      </c>
      <c r="H45" s="670"/>
      <c r="I45" s="669">
        <f t="shared" si="39"/>
        <v>108519.20000000001</v>
      </c>
      <c r="J45" s="671"/>
      <c r="K45" s="666">
        <f>E45/I45</f>
        <v>64.775680248287856</v>
      </c>
      <c r="L45" s="24"/>
      <c r="M45" s="522">
        <f>'TABLE OUTPUTS'!E46/0.5</f>
        <v>6489.0970607695235</v>
      </c>
      <c r="N45" s="668"/>
      <c r="O45" s="522">
        <f>'TABLE OUTPUTS'!F46/0.9</f>
        <v>8845.5901575626958</v>
      </c>
      <c r="P45" s="668"/>
      <c r="Q45" s="667"/>
      <c r="R45" s="667"/>
      <c r="S45" s="667"/>
      <c r="T45" s="668"/>
      <c r="U45" s="672">
        <f>'TABLE OUTPUTS'!AF46</f>
        <v>3.0148281802008245</v>
      </c>
      <c r="V45" s="668"/>
      <c r="W45" s="673">
        <f>'TABLE OUTPUTS'!AE46</f>
        <v>29.494388730144045</v>
      </c>
      <c r="X45" s="46"/>
      <c r="Y45" s="522">
        <f>'TABLE OUTPUTS'!F46</f>
        <v>7961.0311418064266</v>
      </c>
      <c r="Z45" s="674"/>
      <c r="AA45" s="522">
        <f>'TABLE OUTPUTS'!E46</f>
        <v>3244.5485303847618</v>
      </c>
      <c r="AB45" s="668"/>
      <c r="AC45" s="522">
        <f>'TABLE OUTPUTS'!B46</f>
        <v>805.09795864173816</v>
      </c>
      <c r="AD45" s="674"/>
      <c r="AE45" s="522">
        <f>'TABLE OUTPUTS'!S46</f>
        <v>0</v>
      </c>
      <c r="AF45" s="674"/>
      <c r="AG45" s="672">
        <f>'TABLE OUTPUTS'!R46</f>
        <v>43.301667514640201</v>
      </c>
      <c r="AH45" s="674"/>
      <c r="AI45" s="522">
        <f>'TABLE OUTPUTS'!X46</f>
        <v>17087.599218687588</v>
      </c>
      <c r="AJ45" s="674"/>
      <c r="AK45" s="522">
        <f t="shared" si="41"/>
        <v>3080.3958659870141</v>
      </c>
      <c r="AL45" s="675"/>
      <c r="AM45" s="675"/>
      <c r="AN45" s="665"/>
      <c r="AO45" s="404">
        <f>'TABLE OUTPUTS'!K46</f>
        <v>327.22402398827313</v>
      </c>
      <c r="AP45" s="676"/>
      <c r="AQ45" s="677">
        <f>'TABLE OUTPUTS'!M46</f>
        <v>10714.202983805168</v>
      </c>
      <c r="AR45" s="678"/>
      <c r="AS45" s="677">
        <f>'TABLE OUTPUTS'!J46</f>
        <v>3201.2678628701206</v>
      </c>
      <c r="AT45" s="675"/>
      <c r="AU45" s="404">
        <f>'TABLE OUTPUTS'!G46</f>
        <v>805.09795864173816</v>
      </c>
      <c r="AV45" s="180"/>
      <c r="AW45" s="522">
        <f>'TABLE OUTPUTS'!I46</f>
        <v>258.46176944510728</v>
      </c>
      <c r="AX45" s="488"/>
      <c r="AY45" s="442"/>
      <c r="AZ45" s="384"/>
      <c r="BA45" s="442"/>
      <c r="BB45" s="468"/>
      <c r="BC45" s="468"/>
      <c r="BD45" s="469"/>
      <c r="BE45" s="488"/>
      <c r="BF45" s="468"/>
      <c r="BG45" s="468"/>
      <c r="BH45" s="469"/>
      <c r="BJ45" s="451"/>
    </row>
    <row r="46" spans="1:62">
      <c r="A46" s="256"/>
      <c r="B46" s="283"/>
      <c r="C46" s="256"/>
      <c r="F46" s="283"/>
      <c r="G46" s="188"/>
      <c r="I46" s="387"/>
      <c r="L46" s="189"/>
      <c r="AC46" s="223"/>
    </row>
    <row r="47" spans="1:62">
      <c r="A47" s="190" t="s">
        <v>127</v>
      </c>
      <c r="B47" s="438">
        <v>0.02</v>
      </c>
      <c r="C47" s="188"/>
      <c r="G47" s="507"/>
      <c r="H47" s="283"/>
      <c r="I47" s="188"/>
      <c r="L47" s="189"/>
      <c r="M47" s="282"/>
      <c r="N47" s="189"/>
      <c r="AC47" s="285"/>
      <c r="AP47" s="257"/>
      <c r="AQ47" s="176"/>
      <c r="AR47" s="176"/>
      <c r="AS47" s="176"/>
      <c r="AX47" s="258"/>
    </row>
    <row r="48" spans="1:62">
      <c r="A48" s="190"/>
      <c r="F48" s="283"/>
      <c r="M48" s="259"/>
      <c r="P48" s="189"/>
      <c r="Q48" s="189"/>
      <c r="AC48" s="285"/>
      <c r="AM48" s="223"/>
      <c r="AN48" s="223"/>
      <c r="AO48" s="176"/>
      <c r="AQ48" s="260"/>
      <c r="AR48" s="260"/>
      <c r="AS48" s="260"/>
      <c r="AT48" s="261"/>
      <c r="AU48" s="261"/>
      <c r="AV48" s="261"/>
      <c r="AW48" s="261"/>
      <c r="AX48" s="262"/>
    </row>
    <row r="49" spans="1:40">
      <c r="A49" s="181" t="s">
        <v>184</v>
      </c>
      <c r="M49" s="189"/>
      <c r="P49" s="189"/>
      <c r="Q49" s="189"/>
      <c r="AN49" s="223"/>
    </row>
    <row r="50" spans="1:40">
      <c r="A50" s="181" t="s">
        <v>128</v>
      </c>
      <c r="P50" s="189"/>
      <c r="Q50" s="189"/>
    </row>
    <row r="51" spans="1:40" ht="17" thickBot="1">
      <c r="A51" s="181" t="s">
        <v>129</v>
      </c>
      <c r="P51" s="189"/>
      <c r="Q51" s="189"/>
    </row>
    <row r="52" spans="1:40" ht="30.75" customHeight="1" thickBot="1">
      <c r="A52" s="231"/>
      <c r="B52" s="199"/>
      <c r="C52" s="739" t="s">
        <v>130</v>
      </c>
      <c r="D52" s="740"/>
      <c r="E52" s="694" t="s">
        <v>131</v>
      </c>
      <c r="F52" s="695"/>
      <c r="G52" s="692" t="s">
        <v>114</v>
      </c>
      <c r="H52" s="741" t="s">
        <v>132</v>
      </c>
      <c r="I52" s="741" t="s">
        <v>133</v>
      </c>
      <c r="P52" s="189"/>
      <c r="Q52" s="189"/>
    </row>
    <row r="53" spans="1:40" ht="17" thickBot="1">
      <c r="A53" s="252"/>
      <c r="B53" s="263"/>
      <c r="C53" s="264" t="s">
        <v>134</v>
      </c>
      <c r="D53" s="178" t="s">
        <v>135</v>
      </c>
      <c r="E53" s="264" t="s">
        <v>134</v>
      </c>
      <c r="F53" s="178" t="s">
        <v>135</v>
      </c>
      <c r="G53" s="693"/>
      <c r="H53" s="742"/>
      <c r="I53" s="742"/>
      <c r="K53" s="396" t="s">
        <v>186</v>
      </c>
      <c r="P53" s="189"/>
      <c r="Q53" s="189"/>
    </row>
    <row r="54" spans="1:40">
      <c r="A54" s="399">
        <v>2018</v>
      </c>
      <c r="B54" s="400" t="s">
        <v>71</v>
      </c>
      <c r="C54" s="233">
        <f>1-D54</f>
        <v>0.61</v>
      </c>
      <c r="D54" s="232">
        <v>0.39</v>
      </c>
      <c r="E54" s="234">
        <v>0.60799999999999998</v>
      </c>
      <c r="F54" s="390">
        <v>0.3</v>
      </c>
      <c r="G54" s="268">
        <f>ROUND(E54*C54+F54*D54,2)</f>
        <v>0.49</v>
      </c>
      <c r="H54" s="489">
        <v>0.5</v>
      </c>
      <c r="I54" s="270">
        <f>ROUND(0.05*2.8+(C54-0.05)*3+D54*3.8,1)</f>
        <v>3.3</v>
      </c>
      <c r="J54" s="285"/>
      <c r="K54" s="181" t="s">
        <v>185</v>
      </c>
      <c r="L54" s="284"/>
      <c r="M54" s="283"/>
      <c r="N54" s="283"/>
      <c r="P54" s="189"/>
      <c r="Q54" s="189"/>
    </row>
    <row r="55" spans="1:40" ht="17" thickBot="1">
      <c r="A55" s="401"/>
      <c r="B55" s="398" t="s">
        <v>136</v>
      </c>
      <c r="C55" s="254">
        <v>0.3</v>
      </c>
      <c r="D55" s="391">
        <v>0.7</v>
      </c>
      <c r="E55" s="395">
        <v>0.6</v>
      </c>
      <c r="F55" s="391">
        <v>0.2</v>
      </c>
      <c r="G55" s="274">
        <f t="shared" ref="G55:G61" si="45">ROUND(E55*C55+F55*D55,2)</f>
        <v>0.32</v>
      </c>
      <c r="H55" s="397">
        <v>0.3</v>
      </c>
      <c r="I55" s="276">
        <f>ROUND(2*C55+2.5*D55,1)</f>
        <v>2.4</v>
      </c>
      <c r="J55" s="285"/>
      <c r="K55" s="181" t="s">
        <v>187</v>
      </c>
      <c r="L55" s="283"/>
      <c r="M55" s="283"/>
      <c r="N55" s="283"/>
      <c r="O55" s="283"/>
      <c r="P55" s="189"/>
      <c r="Q55" s="189"/>
    </row>
    <row r="56" spans="1:40">
      <c r="A56" s="231">
        <v>2014</v>
      </c>
      <c r="B56" s="199" t="s">
        <v>71</v>
      </c>
      <c r="C56" s="265">
        <v>0.37</v>
      </c>
      <c r="D56" s="266">
        <v>0.63</v>
      </c>
      <c r="E56" s="392">
        <v>0.61</v>
      </c>
      <c r="F56" s="267">
        <v>0.25</v>
      </c>
      <c r="G56" s="268">
        <f t="shared" si="45"/>
        <v>0.38</v>
      </c>
      <c r="H56" s="269">
        <v>0.4</v>
      </c>
      <c r="I56" s="270">
        <f>ROUND(0.04*2.8+(C56-0.04)*3+D56*3.8,1)</f>
        <v>3.5</v>
      </c>
      <c r="J56" s="285"/>
      <c r="L56" s="283"/>
      <c r="M56" s="283"/>
      <c r="N56" s="283"/>
      <c r="O56" s="283"/>
      <c r="P56" s="189"/>
      <c r="Q56" s="189"/>
    </row>
    <row r="57" spans="1:40" ht="17" thickBot="1">
      <c r="A57" s="252"/>
      <c r="B57" s="263" t="s">
        <v>136</v>
      </c>
      <c r="C57" s="271">
        <v>0.25</v>
      </c>
      <c r="D57" s="272">
        <v>0.75</v>
      </c>
      <c r="E57" s="393">
        <v>0.6</v>
      </c>
      <c r="F57" s="273">
        <v>0.15</v>
      </c>
      <c r="G57" s="274">
        <f t="shared" si="45"/>
        <v>0.26</v>
      </c>
      <c r="H57" s="275">
        <v>0.3</v>
      </c>
      <c r="I57" s="276">
        <f>ROUND(2*C57+2.5*D57,1)</f>
        <v>2.4</v>
      </c>
      <c r="J57" s="285"/>
    </row>
    <row r="58" spans="1:40">
      <c r="A58" s="231">
        <v>2010</v>
      </c>
      <c r="B58" s="199" t="s">
        <v>71</v>
      </c>
      <c r="C58" s="265">
        <v>0.15</v>
      </c>
      <c r="D58" s="266">
        <f>1-C58</f>
        <v>0.85</v>
      </c>
      <c r="E58" s="392">
        <v>0.60699999999999998</v>
      </c>
      <c r="F58" s="267">
        <v>0.15</v>
      </c>
      <c r="G58" s="268">
        <f t="shared" si="45"/>
        <v>0.22</v>
      </c>
      <c r="H58" s="269">
        <v>0.2</v>
      </c>
      <c r="I58" s="270">
        <f>ROUND(3*C58+4*D58,1)</f>
        <v>3.9</v>
      </c>
      <c r="J58" s="285"/>
      <c r="P58" s="282"/>
    </row>
    <row r="59" spans="1:40" ht="17" thickBot="1">
      <c r="A59" s="252"/>
      <c r="B59" s="263" t="s">
        <v>136</v>
      </c>
      <c r="C59" s="271">
        <v>0.2</v>
      </c>
      <c r="D59" s="272">
        <v>0.8</v>
      </c>
      <c r="E59" s="393">
        <v>0.55000000000000004</v>
      </c>
      <c r="F59" s="273">
        <v>0.1</v>
      </c>
      <c r="G59" s="274">
        <f t="shared" si="45"/>
        <v>0.19</v>
      </c>
      <c r="H59" s="275">
        <v>0.2</v>
      </c>
      <c r="I59" s="276">
        <f>ROUND(2*C59+2.5*D59,1)</f>
        <v>2.4</v>
      </c>
      <c r="J59" s="285"/>
      <c r="O59" s="282"/>
      <c r="P59" s="282"/>
    </row>
    <row r="60" spans="1:40">
      <c r="A60" s="209">
        <v>1990</v>
      </c>
      <c r="B60" s="210" t="s">
        <v>71</v>
      </c>
      <c r="C60" s="277">
        <v>2E-3</v>
      </c>
      <c r="D60" s="278">
        <f>1-C60</f>
        <v>0.998</v>
      </c>
      <c r="E60" s="394">
        <v>0.6</v>
      </c>
      <c r="F60" s="279">
        <v>0.1</v>
      </c>
      <c r="G60" s="280">
        <f t="shared" si="45"/>
        <v>0.1</v>
      </c>
      <c r="H60" s="269">
        <v>0.1</v>
      </c>
      <c r="I60" s="270">
        <f>ROUND(3*C60+4*D60,1)</f>
        <v>4</v>
      </c>
      <c r="J60" s="285"/>
      <c r="O60" s="282"/>
      <c r="P60" s="282"/>
    </row>
    <row r="61" spans="1:40" ht="17" thickBot="1">
      <c r="A61" s="252"/>
      <c r="B61" s="263" t="s">
        <v>136</v>
      </c>
      <c r="C61" s="271">
        <v>2E-3</v>
      </c>
      <c r="D61" s="272">
        <f>1-C61</f>
        <v>0.998</v>
      </c>
      <c r="E61" s="393">
        <v>0.5</v>
      </c>
      <c r="F61" s="273">
        <v>0.1</v>
      </c>
      <c r="G61" s="274">
        <f t="shared" si="45"/>
        <v>0.1</v>
      </c>
      <c r="H61" s="275">
        <v>0.1</v>
      </c>
      <c r="I61" s="276">
        <f>ROUND(2*C61+2.5*D61,1)</f>
        <v>2.5</v>
      </c>
      <c r="J61" s="285"/>
      <c r="O61" s="282"/>
      <c r="P61" s="282"/>
    </row>
    <row r="62" spans="1:40">
      <c r="A62" s="190" t="s">
        <v>137</v>
      </c>
      <c r="O62" s="282"/>
      <c r="P62" s="282"/>
    </row>
    <row r="63" spans="1:40">
      <c r="A63" s="181" t="s">
        <v>138</v>
      </c>
      <c r="C63" s="482">
        <v>1.0878099999999999</v>
      </c>
      <c r="H63" s="283"/>
      <c r="I63" s="283"/>
      <c r="J63" s="283"/>
      <c r="K63" s="283"/>
      <c r="O63" s="282"/>
      <c r="P63" s="282"/>
    </row>
    <row r="64" spans="1:40">
      <c r="A64" s="181" t="s">
        <v>139</v>
      </c>
      <c r="C64" s="482">
        <v>2.1283300000000001</v>
      </c>
      <c r="I64" s="283"/>
      <c r="J64" s="283"/>
      <c r="K64" s="283"/>
      <c r="O64" s="282"/>
      <c r="P64" s="282"/>
    </row>
    <row r="65" spans="1:26">
      <c r="A65" s="181" t="s">
        <v>140</v>
      </c>
      <c r="C65" s="482">
        <v>1.0793699999999999</v>
      </c>
      <c r="J65" s="282"/>
      <c r="O65" s="282"/>
      <c r="P65" s="282"/>
    </row>
    <row r="66" spans="1:26">
      <c r="A66" s="181" t="s">
        <v>141</v>
      </c>
      <c r="C66" s="284">
        <v>0.9</v>
      </c>
      <c r="I66" s="282"/>
      <c r="J66" s="282"/>
      <c r="O66" s="282"/>
      <c r="P66" s="282"/>
    </row>
    <row r="67" spans="1:26">
      <c r="A67" s="181" t="s">
        <v>142</v>
      </c>
      <c r="C67" s="284">
        <v>0.5</v>
      </c>
      <c r="I67" s="282"/>
      <c r="J67" s="282"/>
      <c r="O67" s="282"/>
      <c r="P67" s="282"/>
    </row>
    <row r="68" spans="1:26">
      <c r="C68" s="281"/>
      <c r="I68" s="282"/>
      <c r="J68" s="282"/>
      <c r="O68" s="282"/>
      <c r="P68" s="282"/>
    </row>
    <row r="69" spans="1:26">
      <c r="I69" s="282"/>
      <c r="J69" s="282"/>
      <c r="O69" s="282"/>
      <c r="P69" s="282"/>
    </row>
    <row r="70" spans="1:26">
      <c r="I70" s="282"/>
      <c r="J70" s="282"/>
      <c r="O70" s="282"/>
      <c r="P70" s="282"/>
    </row>
    <row r="71" spans="1:26">
      <c r="O71" s="282"/>
      <c r="P71" s="282"/>
    </row>
    <row r="78" spans="1:26">
      <c r="P78" s="283"/>
      <c r="R78" s="283"/>
      <c r="S78" s="283"/>
      <c r="T78" s="283"/>
      <c r="U78" s="283"/>
      <c r="V78" s="283"/>
      <c r="W78" s="283"/>
      <c r="X78" s="283"/>
      <c r="Y78" s="283"/>
      <c r="Z78" s="283"/>
    </row>
    <row r="79" spans="1:26"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</row>
    <row r="80" spans="1:26">
      <c r="P80" s="283"/>
      <c r="Q80" s="283"/>
      <c r="R80" s="283"/>
      <c r="S80" s="283"/>
      <c r="T80" s="283"/>
      <c r="U80" s="283"/>
      <c r="V80" s="283"/>
      <c r="W80" s="283"/>
      <c r="X80" s="283"/>
      <c r="Y80" s="283"/>
      <c r="Z80" s="283"/>
    </row>
    <row r="81" spans="16:26"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</row>
    <row r="82" spans="16:26"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</row>
    <row r="83" spans="16:26"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</row>
    <row r="84" spans="16:26"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</row>
    <row r="85" spans="16:26"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</row>
    <row r="86" spans="16:26">
      <c r="P86" s="283"/>
      <c r="Q86" s="283"/>
      <c r="R86" s="283"/>
      <c r="S86" s="283"/>
      <c r="T86" s="283"/>
      <c r="U86" s="283"/>
      <c r="V86" s="283"/>
      <c r="W86" s="283"/>
      <c r="X86" s="283"/>
      <c r="Y86" s="283"/>
      <c r="Z86" s="283"/>
    </row>
    <row r="87" spans="16:26">
      <c r="P87" s="283"/>
      <c r="Q87" s="283"/>
      <c r="R87" s="283"/>
      <c r="S87" s="283"/>
      <c r="T87" s="283"/>
      <c r="U87" s="283"/>
      <c r="V87" s="283"/>
      <c r="W87" s="283"/>
      <c r="X87" s="283"/>
      <c r="Y87" s="283"/>
      <c r="Z87" s="283"/>
    </row>
    <row r="88" spans="16:26"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</row>
    <row r="89" spans="16:26"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</row>
    <row r="90" spans="16:26"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</row>
    <row r="91" spans="16:26"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</row>
    <row r="92" spans="16:26"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</row>
  </sheetData>
  <mergeCells count="53">
    <mergeCell ref="C52:D52"/>
    <mergeCell ref="E52:F52"/>
    <mergeCell ref="G52:G53"/>
    <mergeCell ref="H52:H53"/>
    <mergeCell ref="I52:I53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BH4:BH6"/>
    <mergeCell ref="BE3:BH3"/>
    <mergeCell ref="BB4:BB6"/>
    <mergeCell ref="BC4:BC6"/>
    <mergeCell ref="BA4:BA6"/>
    <mergeCell ref="BD4:BD6"/>
    <mergeCell ref="BA3:BD3"/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9"/>
  <sheetViews>
    <sheetView zoomScale="80" zoomScaleNormal="80" workbookViewId="0">
      <selection activeCell="L19" sqref="L19"/>
    </sheetView>
  </sheetViews>
  <sheetFormatPr baseColWidth="10" defaultColWidth="8.83203125" defaultRowHeight="16"/>
  <cols>
    <col min="1" max="1" width="23.1640625" style="181" customWidth="1"/>
    <col min="2" max="4" width="6.83203125" style="181" bestFit="1" customWidth="1"/>
    <col min="5" max="5" width="6.83203125" style="283" bestFit="1" customWidth="1"/>
    <col min="6" max="8" width="9.5" style="181" bestFit="1" customWidth="1"/>
    <col min="9" max="9" width="16.5" style="181" customWidth="1"/>
    <col min="10" max="11" width="8.83203125" style="181"/>
    <col min="12" max="12" width="7.5" style="181" bestFit="1" customWidth="1"/>
    <col min="13" max="13" width="7.33203125" style="181" bestFit="1" customWidth="1"/>
    <col min="14" max="14" width="5.33203125" style="181" bestFit="1" customWidth="1"/>
    <col min="15" max="15" width="7.5" style="181" bestFit="1" customWidth="1"/>
    <col min="16" max="16" width="7.33203125" style="181" bestFit="1" customWidth="1"/>
    <col min="17" max="17" width="5.83203125" style="181" bestFit="1" customWidth="1"/>
    <col min="18" max="20" width="8" style="181" customWidth="1"/>
    <col min="21" max="21" width="7.5" style="181" bestFit="1" customWidth="1"/>
    <col min="22" max="22" width="7.33203125" style="181" bestFit="1" customWidth="1"/>
    <col min="23" max="23" width="6.83203125" style="181" bestFit="1" customWidth="1"/>
    <col min="24" max="24" width="7.5" style="181" bestFit="1" customWidth="1"/>
    <col min="25" max="25" width="7.33203125" style="181" bestFit="1" customWidth="1"/>
    <col min="26" max="26" width="6.83203125" style="181" bestFit="1" customWidth="1"/>
    <col min="27" max="256" width="8.83203125" style="181"/>
    <col min="257" max="257" width="23.1640625" style="181" customWidth="1"/>
    <col min="258" max="264" width="8.83203125" style="181"/>
    <col min="265" max="265" width="15.5" style="181" bestFit="1" customWidth="1"/>
    <col min="266" max="512" width="8.83203125" style="181"/>
    <col min="513" max="513" width="23.1640625" style="181" customWidth="1"/>
    <col min="514" max="520" width="8.83203125" style="181"/>
    <col min="521" max="521" width="15.5" style="181" bestFit="1" customWidth="1"/>
    <col min="522" max="768" width="8.83203125" style="181"/>
    <col min="769" max="769" width="23.1640625" style="181" customWidth="1"/>
    <col min="770" max="776" width="8.83203125" style="181"/>
    <col min="777" max="777" width="15.5" style="181" bestFit="1" customWidth="1"/>
    <col min="778" max="1024" width="8.83203125" style="181"/>
    <col min="1025" max="1025" width="23.1640625" style="181" customWidth="1"/>
    <col min="1026" max="1032" width="8.83203125" style="181"/>
    <col min="1033" max="1033" width="15.5" style="181" bestFit="1" customWidth="1"/>
    <col min="1034" max="1280" width="8.83203125" style="181"/>
    <col min="1281" max="1281" width="23.1640625" style="181" customWidth="1"/>
    <col min="1282" max="1288" width="8.83203125" style="181"/>
    <col min="1289" max="1289" width="15.5" style="181" bestFit="1" customWidth="1"/>
    <col min="1290" max="1536" width="8.83203125" style="181"/>
    <col min="1537" max="1537" width="23.1640625" style="181" customWidth="1"/>
    <col min="1538" max="1544" width="8.83203125" style="181"/>
    <col min="1545" max="1545" width="15.5" style="181" bestFit="1" customWidth="1"/>
    <col min="1546" max="1792" width="8.83203125" style="181"/>
    <col min="1793" max="1793" width="23.1640625" style="181" customWidth="1"/>
    <col min="1794" max="1800" width="8.83203125" style="181"/>
    <col min="1801" max="1801" width="15.5" style="181" bestFit="1" customWidth="1"/>
    <col min="1802" max="2048" width="8.83203125" style="181"/>
    <col min="2049" max="2049" width="23.1640625" style="181" customWidth="1"/>
    <col min="2050" max="2056" width="8.83203125" style="181"/>
    <col min="2057" max="2057" width="15.5" style="181" bestFit="1" customWidth="1"/>
    <col min="2058" max="2304" width="8.83203125" style="181"/>
    <col min="2305" max="2305" width="23.1640625" style="181" customWidth="1"/>
    <col min="2306" max="2312" width="8.83203125" style="181"/>
    <col min="2313" max="2313" width="15.5" style="181" bestFit="1" customWidth="1"/>
    <col min="2314" max="2560" width="8.83203125" style="181"/>
    <col min="2561" max="2561" width="23.1640625" style="181" customWidth="1"/>
    <col min="2562" max="2568" width="8.83203125" style="181"/>
    <col min="2569" max="2569" width="15.5" style="181" bestFit="1" customWidth="1"/>
    <col min="2570" max="2816" width="8.83203125" style="181"/>
    <col min="2817" max="2817" width="23.1640625" style="181" customWidth="1"/>
    <col min="2818" max="2824" width="8.83203125" style="181"/>
    <col min="2825" max="2825" width="15.5" style="181" bestFit="1" customWidth="1"/>
    <col min="2826" max="3072" width="8.83203125" style="181"/>
    <col min="3073" max="3073" width="23.1640625" style="181" customWidth="1"/>
    <col min="3074" max="3080" width="8.83203125" style="181"/>
    <col min="3081" max="3081" width="15.5" style="181" bestFit="1" customWidth="1"/>
    <col min="3082" max="3328" width="8.83203125" style="181"/>
    <col min="3329" max="3329" width="23.1640625" style="181" customWidth="1"/>
    <col min="3330" max="3336" width="8.83203125" style="181"/>
    <col min="3337" max="3337" width="15.5" style="181" bestFit="1" customWidth="1"/>
    <col min="3338" max="3584" width="8.83203125" style="181"/>
    <col min="3585" max="3585" width="23.1640625" style="181" customWidth="1"/>
    <col min="3586" max="3592" width="8.83203125" style="181"/>
    <col min="3593" max="3593" width="15.5" style="181" bestFit="1" customWidth="1"/>
    <col min="3594" max="3840" width="8.83203125" style="181"/>
    <col min="3841" max="3841" width="23.1640625" style="181" customWidth="1"/>
    <col min="3842" max="3848" width="8.83203125" style="181"/>
    <col min="3849" max="3849" width="15.5" style="181" bestFit="1" customWidth="1"/>
    <col min="3850" max="4096" width="8.83203125" style="181"/>
    <col min="4097" max="4097" width="23.1640625" style="181" customWidth="1"/>
    <col min="4098" max="4104" width="8.83203125" style="181"/>
    <col min="4105" max="4105" width="15.5" style="181" bestFit="1" customWidth="1"/>
    <col min="4106" max="4352" width="8.83203125" style="181"/>
    <col min="4353" max="4353" width="23.1640625" style="181" customWidth="1"/>
    <col min="4354" max="4360" width="8.83203125" style="181"/>
    <col min="4361" max="4361" width="15.5" style="181" bestFit="1" customWidth="1"/>
    <col min="4362" max="4608" width="8.83203125" style="181"/>
    <col min="4609" max="4609" width="23.1640625" style="181" customWidth="1"/>
    <col min="4610" max="4616" width="8.83203125" style="181"/>
    <col min="4617" max="4617" width="15.5" style="181" bestFit="1" customWidth="1"/>
    <col min="4618" max="4864" width="8.83203125" style="181"/>
    <col min="4865" max="4865" width="23.1640625" style="181" customWidth="1"/>
    <col min="4866" max="4872" width="8.83203125" style="181"/>
    <col min="4873" max="4873" width="15.5" style="181" bestFit="1" customWidth="1"/>
    <col min="4874" max="5120" width="8.83203125" style="181"/>
    <col min="5121" max="5121" width="23.1640625" style="181" customWidth="1"/>
    <col min="5122" max="5128" width="8.83203125" style="181"/>
    <col min="5129" max="5129" width="15.5" style="181" bestFit="1" customWidth="1"/>
    <col min="5130" max="5376" width="8.83203125" style="181"/>
    <col min="5377" max="5377" width="23.1640625" style="181" customWidth="1"/>
    <col min="5378" max="5384" width="8.83203125" style="181"/>
    <col min="5385" max="5385" width="15.5" style="181" bestFit="1" customWidth="1"/>
    <col min="5386" max="5632" width="8.83203125" style="181"/>
    <col min="5633" max="5633" width="23.1640625" style="181" customWidth="1"/>
    <col min="5634" max="5640" width="8.83203125" style="181"/>
    <col min="5641" max="5641" width="15.5" style="181" bestFit="1" customWidth="1"/>
    <col min="5642" max="5888" width="8.83203125" style="181"/>
    <col min="5889" max="5889" width="23.1640625" style="181" customWidth="1"/>
    <col min="5890" max="5896" width="8.83203125" style="181"/>
    <col min="5897" max="5897" width="15.5" style="181" bestFit="1" customWidth="1"/>
    <col min="5898" max="6144" width="8.83203125" style="181"/>
    <col min="6145" max="6145" width="23.1640625" style="181" customWidth="1"/>
    <col min="6146" max="6152" width="8.83203125" style="181"/>
    <col min="6153" max="6153" width="15.5" style="181" bestFit="1" customWidth="1"/>
    <col min="6154" max="6400" width="8.83203125" style="181"/>
    <col min="6401" max="6401" width="23.1640625" style="181" customWidth="1"/>
    <col min="6402" max="6408" width="8.83203125" style="181"/>
    <col min="6409" max="6409" width="15.5" style="181" bestFit="1" customWidth="1"/>
    <col min="6410" max="6656" width="8.83203125" style="181"/>
    <col min="6657" max="6657" width="23.1640625" style="181" customWidth="1"/>
    <col min="6658" max="6664" width="8.83203125" style="181"/>
    <col min="6665" max="6665" width="15.5" style="181" bestFit="1" customWidth="1"/>
    <col min="6666" max="6912" width="8.83203125" style="181"/>
    <col min="6913" max="6913" width="23.1640625" style="181" customWidth="1"/>
    <col min="6914" max="6920" width="8.83203125" style="181"/>
    <col min="6921" max="6921" width="15.5" style="181" bestFit="1" customWidth="1"/>
    <col min="6922" max="7168" width="8.83203125" style="181"/>
    <col min="7169" max="7169" width="23.1640625" style="181" customWidth="1"/>
    <col min="7170" max="7176" width="8.83203125" style="181"/>
    <col min="7177" max="7177" width="15.5" style="181" bestFit="1" customWidth="1"/>
    <col min="7178" max="7424" width="8.83203125" style="181"/>
    <col min="7425" max="7425" width="23.1640625" style="181" customWidth="1"/>
    <col min="7426" max="7432" width="8.83203125" style="181"/>
    <col min="7433" max="7433" width="15.5" style="181" bestFit="1" customWidth="1"/>
    <col min="7434" max="7680" width="8.83203125" style="181"/>
    <col min="7681" max="7681" width="23.1640625" style="181" customWidth="1"/>
    <col min="7682" max="7688" width="8.83203125" style="181"/>
    <col min="7689" max="7689" width="15.5" style="181" bestFit="1" customWidth="1"/>
    <col min="7690" max="7936" width="8.83203125" style="181"/>
    <col min="7937" max="7937" width="23.1640625" style="181" customWidth="1"/>
    <col min="7938" max="7944" width="8.83203125" style="181"/>
    <col min="7945" max="7945" width="15.5" style="181" bestFit="1" customWidth="1"/>
    <col min="7946" max="8192" width="8.83203125" style="181"/>
    <col min="8193" max="8193" width="23.1640625" style="181" customWidth="1"/>
    <col min="8194" max="8200" width="8.83203125" style="181"/>
    <col min="8201" max="8201" width="15.5" style="181" bestFit="1" customWidth="1"/>
    <col min="8202" max="8448" width="8.83203125" style="181"/>
    <col min="8449" max="8449" width="23.1640625" style="181" customWidth="1"/>
    <col min="8450" max="8456" width="8.83203125" style="181"/>
    <col min="8457" max="8457" width="15.5" style="181" bestFit="1" customWidth="1"/>
    <col min="8458" max="8704" width="8.83203125" style="181"/>
    <col min="8705" max="8705" width="23.1640625" style="181" customWidth="1"/>
    <col min="8706" max="8712" width="8.83203125" style="181"/>
    <col min="8713" max="8713" width="15.5" style="181" bestFit="1" customWidth="1"/>
    <col min="8714" max="8960" width="8.83203125" style="181"/>
    <col min="8961" max="8961" width="23.1640625" style="181" customWidth="1"/>
    <col min="8962" max="8968" width="8.83203125" style="181"/>
    <col min="8969" max="8969" width="15.5" style="181" bestFit="1" customWidth="1"/>
    <col min="8970" max="9216" width="8.83203125" style="181"/>
    <col min="9217" max="9217" width="23.1640625" style="181" customWidth="1"/>
    <col min="9218" max="9224" width="8.83203125" style="181"/>
    <col min="9225" max="9225" width="15.5" style="181" bestFit="1" customWidth="1"/>
    <col min="9226" max="9472" width="8.83203125" style="181"/>
    <col min="9473" max="9473" width="23.1640625" style="181" customWidth="1"/>
    <col min="9474" max="9480" width="8.83203125" style="181"/>
    <col min="9481" max="9481" width="15.5" style="181" bestFit="1" customWidth="1"/>
    <col min="9482" max="9728" width="8.83203125" style="181"/>
    <col min="9729" max="9729" width="23.1640625" style="181" customWidth="1"/>
    <col min="9730" max="9736" width="8.83203125" style="181"/>
    <col min="9737" max="9737" width="15.5" style="181" bestFit="1" customWidth="1"/>
    <col min="9738" max="9984" width="8.83203125" style="181"/>
    <col min="9985" max="9985" width="23.1640625" style="181" customWidth="1"/>
    <col min="9986" max="9992" width="8.83203125" style="181"/>
    <col min="9993" max="9993" width="15.5" style="181" bestFit="1" customWidth="1"/>
    <col min="9994" max="10240" width="8.83203125" style="181"/>
    <col min="10241" max="10241" width="23.1640625" style="181" customWidth="1"/>
    <col min="10242" max="10248" width="8.83203125" style="181"/>
    <col min="10249" max="10249" width="15.5" style="181" bestFit="1" customWidth="1"/>
    <col min="10250" max="10496" width="8.83203125" style="181"/>
    <col min="10497" max="10497" width="23.1640625" style="181" customWidth="1"/>
    <col min="10498" max="10504" width="8.83203125" style="181"/>
    <col min="10505" max="10505" width="15.5" style="181" bestFit="1" customWidth="1"/>
    <col min="10506" max="10752" width="8.83203125" style="181"/>
    <col min="10753" max="10753" width="23.1640625" style="181" customWidth="1"/>
    <col min="10754" max="10760" width="8.83203125" style="181"/>
    <col min="10761" max="10761" width="15.5" style="181" bestFit="1" customWidth="1"/>
    <col min="10762" max="11008" width="8.83203125" style="181"/>
    <col min="11009" max="11009" width="23.1640625" style="181" customWidth="1"/>
    <col min="11010" max="11016" width="8.83203125" style="181"/>
    <col min="11017" max="11017" width="15.5" style="181" bestFit="1" customWidth="1"/>
    <col min="11018" max="11264" width="8.83203125" style="181"/>
    <col min="11265" max="11265" width="23.1640625" style="181" customWidth="1"/>
    <col min="11266" max="11272" width="8.83203125" style="181"/>
    <col min="11273" max="11273" width="15.5" style="181" bestFit="1" customWidth="1"/>
    <col min="11274" max="11520" width="8.83203125" style="181"/>
    <col min="11521" max="11521" width="23.1640625" style="181" customWidth="1"/>
    <col min="11522" max="11528" width="8.83203125" style="181"/>
    <col min="11529" max="11529" width="15.5" style="181" bestFit="1" customWidth="1"/>
    <col min="11530" max="11776" width="8.83203125" style="181"/>
    <col min="11777" max="11777" width="23.1640625" style="181" customWidth="1"/>
    <col min="11778" max="11784" width="8.83203125" style="181"/>
    <col min="11785" max="11785" width="15.5" style="181" bestFit="1" customWidth="1"/>
    <col min="11786" max="12032" width="8.83203125" style="181"/>
    <col min="12033" max="12033" width="23.1640625" style="181" customWidth="1"/>
    <col min="12034" max="12040" width="8.83203125" style="181"/>
    <col min="12041" max="12041" width="15.5" style="181" bestFit="1" customWidth="1"/>
    <col min="12042" max="12288" width="8.83203125" style="181"/>
    <col min="12289" max="12289" width="23.1640625" style="181" customWidth="1"/>
    <col min="12290" max="12296" width="8.83203125" style="181"/>
    <col min="12297" max="12297" width="15.5" style="181" bestFit="1" customWidth="1"/>
    <col min="12298" max="12544" width="8.83203125" style="181"/>
    <col min="12545" max="12545" width="23.1640625" style="181" customWidth="1"/>
    <col min="12546" max="12552" width="8.83203125" style="181"/>
    <col min="12553" max="12553" width="15.5" style="181" bestFit="1" customWidth="1"/>
    <col min="12554" max="12800" width="8.83203125" style="181"/>
    <col min="12801" max="12801" width="23.1640625" style="181" customWidth="1"/>
    <col min="12802" max="12808" width="8.83203125" style="181"/>
    <col min="12809" max="12809" width="15.5" style="181" bestFit="1" customWidth="1"/>
    <col min="12810" max="13056" width="8.83203125" style="181"/>
    <col min="13057" max="13057" width="23.1640625" style="181" customWidth="1"/>
    <col min="13058" max="13064" width="8.83203125" style="181"/>
    <col min="13065" max="13065" width="15.5" style="181" bestFit="1" customWidth="1"/>
    <col min="13066" max="13312" width="8.83203125" style="181"/>
    <col min="13313" max="13313" width="23.1640625" style="181" customWidth="1"/>
    <col min="13314" max="13320" width="8.83203125" style="181"/>
    <col min="13321" max="13321" width="15.5" style="181" bestFit="1" customWidth="1"/>
    <col min="13322" max="13568" width="8.83203125" style="181"/>
    <col min="13569" max="13569" width="23.1640625" style="181" customWidth="1"/>
    <col min="13570" max="13576" width="8.83203125" style="181"/>
    <col min="13577" max="13577" width="15.5" style="181" bestFit="1" customWidth="1"/>
    <col min="13578" max="13824" width="8.83203125" style="181"/>
    <col min="13825" max="13825" width="23.1640625" style="181" customWidth="1"/>
    <col min="13826" max="13832" width="8.83203125" style="181"/>
    <col min="13833" max="13833" width="15.5" style="181" bestFit="1" customWidth="1"/>
    <col min="13834" max="14080" width="8.83203125" style="181"/>
    <col min="14081" max="14081" width="23.1640625" style="181" customWidth="1"/>
    <col min="14082" max="14088" width="8.83203125" style="181"/>
    <col min="14089" max="14089" width="15.5" style="181" bestFit="1" customWidth="1"/>
    <col min="14090" max="14336" width="8.83203125" style="181"/>
    <col min="14337" max="14337" width="23.1640625" style="181" customWidth="1"/>
    <col min="14338" max="14344" width="8.83203125" style="181"/>
    <col min="14345" max="14345" width="15.5" style="181" bestFit="1" customWidth="1"/>
    <col min="14346" max="14592" width="8.83203125" style="181"/>
    <col min="14593" max="14593" width="23.1640625" style="181" customWidth="1"/>
    <col min="14594" max="14600" width="8.83203125" style="181"/>
    <col min="14601" max="14601" width="15.5" style="181" bestFit="1" customWidth="1"/>
    <col min="14602" max="14848" width="8.83203125" style="181"/>
    <col min="14849" max="14849" width="23.1640625" style="181" customWidth="1"/>
    <col min="14850" max="14856" width="8.83203125" style="181"/>
    <col min="14857" max="14857" width="15.5" style="181" bestFit="1" customWidth="1"/>
    <col min="14858" max="15104" width="8.83203125" style="181"/>
    <col min="15105" max="15105" width="23.1640625" style="181" customWidth="1"/>
    <col min="15106" max="15112" width="8.83203125" style="181"/>
    <col min="15113" max="15113" width="15.5" style="181" bestFit="1" customWidth="1"/>
    <col min="15114" max="15360" width="8.83203125" style="181"/>
    <col min="15361" max="15361" width="23.1640625" style="181" customWidth="1"/>
    <col min="15362" max="15368" width="8.83203125" style="181"/>
    <col min="15369" max="15369" width="15.5" style="181" bestFit="1" customWidth="1"/>
    <col min="15370" max="15616" width="8.83203125" style="181"/>
    <col min="15617" max="15617" width="23.1640625" style="181" customWidth="1"/>
    <col min="15618" max="15624" width="8.83203125" style="181"/>
    <col min="15625" max="15625" width="15.5" style="181" bestFit="1" customWidth="1"/>
    <col min="15626" max="15872" width="8.83203125" style="181"/>
    <col min="15873" max="15873" width="23.1640625" style="181" customWidth="1"/>
    <col min="15874" max="15880" width="8.83203125" style="181"/>
    <col min="15881" max="15881" width="15.5" style="181" bestFit="1" customWidth="1"/>
    <col min="15882" max="16128" width="8.83203125" style="181"/>
    <col min="16129" max="16129" width="23.1640625" style="181" customWidth="1"/>
    <col min="16130" max="16136" width="8.83203125" style="181"/>
    <col min="16137" max="16137" width="15.5" style="181" bestFit="1" customWidth="1"/>
    <col min="16138" max="16384" width="8.83203125" style="181"/>
  </cols>
  <sheetData>
    <row r="1" spans="1:29">
      <c r="A1" s="198" t="s">
        <v>151</v>
      </c>
      <c r="B1" s="193"/>
      <c r="C1" s="193"/>
      <c r="D1" s="193"/>
      <c r="E1" s="193"/>
      <c r="F1" s="193"/>
      <c r="G1" s="193"/>
      <c r="H1" s="193"/>
      <c r="I1" s="193"/>
    </row>
    <row r="2" spans="1:29" ht="17" thickBot="1">
      <c r="A2" s="193"/>
      <c r="B2" s="205"/>
      <c r="C2" s="205"/>
      <c r="D2" s="205"/>
      <c r="E2" s="205"/>
      <c r="F2" s="193"/>
      <c r="G2" s="193"/>
      <c r="H2" s="193"/>
      <c r="I2" s="193"/>
    </row>
    <row r="3" spans="1:29" ht="17" thickBot="1">
      <c r="A3" s="733"/>
      <c r="B3" s="744" t="s">
        <v>89</v>
      </c>
      <c r="C3" s="718"/>
      <c r="D3" s="718"/>
      <c r="E3" s="719"/>
      <c r="F3" s="700" t="s">
        <v>90</v>
      </c>
      <c r="G3" s="701"/>
      <c r="H3" s="702"/>
      <c r="I3" s="178" t="s">
        <v>91</v>
      </c>
      <c r="AA3" s="283"/>
      <c r="AB3" s="283"/>
      <c r="AC3" s="283"/>
    </row>
    <row r="4" spans="1:29" ht="17" thickBot="1">
      <c r="A4" s="743"/>
      <c r="B4" s="213">
        <v>1992</v>
      </c>
      <c r="C4" s="214">
        <v>2002</v>
      </c>
      <c r="D4" s="214">
        <v>2012</v>
      </c>
      <c r="E4" s="215">
        <v>2018</v>
      </c>
      <c r="F4" s="199" t="s">
        <v>92</v>
      </c>
      <c r="G4" s="199" t="s">
        <v>143</v>
      </c>
      <c r="H4" s="199" t="s">
        <v>195</v>
      </c>
      <c r="I4" s="187" t="s">
        <v>234</v>
      </c>
      <c r="K4" s="331"/>
      <c r="L4" s="700" t="s">
        <v>225</v>
      </c>
      <c r="M4" s="701"/>
      <c r="N4" s="702"/>
      <c r="O4" s="700" t="s">
        <v>196</v>
      </c>
      <c r="P4" s="701"/>
      <c r="Q4" s="702"/>
      <c r="R4" s="700" t="s">
        <v>226</v>
      </c>
      <c r="S4" s="701"/>
      <c r="T4" s="702"/>
      <c r="U4" s="700" t="s">
        <v>227</v>
      </c>
      <c r="V4" s="701"/>
      <c r="W4" s="702"/>
      <c r="AA4" s="283"/>
      <c r="AB4" s="283"/>
      <c r="AC4" s="283"/>
    </row>
    <row r="5" spans="1:29" ht="17" thickBot="1">
      <c r="A5" s="231" t="s">
        <v>93</v>
      </c>
      <c r="B5" s="295">
        <v>68450.100000000006</v>
      </c>
      <c r="C5" s="296">
        <v>79537.700000000012</v>
      </c>
      <c r="D5" s="296">
        <v>88772.9</v>
      </c>
      <c r="E5" s="409">
        <v>94666</v>
      </c>
      <c r="F5" s="314">
        <f t="shared" ref="F5:G8" si="0">(C5/B5)^(1/10)*100-100</f>
        <v>1.5125866331876523</v>
      </c>
      <c r="G5" s="293">
        <f t="shared" si="0"/>
        <v>1.1045586993965344</v>
      </c>
      <c r="H5" s="303">
        <f>(E5/D5)^(1/6)*100-100</f>
        <v>1.0769828875964151</v>
      </c>
      <c r="I5" s="527">
        <v>1.05</v>
      </c>
      <c r="K5" s="212"/>
      <c r="L5" s="323" t="s">
        <v>144</v>
      </c>
      <c r="M5" s="324" t="s">
        <v>145</v>
      </c>
      <c r="N5" s="305" t="s">
        <v>146</v>
      </c>
      <c r="O5" s="324" t="s">
        <v>144</v>
      </c>
      <c r="P5" s="290" t="s">
        <v>145</v>
      </c>
      <c r="Q5" s="305" t="s">
        <v>146</v>
      </c>
      <c r="R5" s="407" t="s">
        <v>144</v>
      </c>
      <c r="S5" s="407" t="s">
        <v>145</v>
      </c>
      <c r="T5" s="433" t="s">
        <v>146</v>
      </c>
      <c r="U5" s="492" t="s">
        <v>144</v>
      </c>
      <c r="V5" s="493" t="s">
        <v>145</v>
      </c>
      <c r="W5" s="305" t="s">
        <v>146</v>
      </c>
      <c r="AA5" s="283"/>
      <c r="AB5" s="283"/>
      <c r="AC5" s="283"/>
    </row>
    <row r="6" spans="1:29">
      <c r="A6" s="209" t="s">
        <v>94</v>
      </c>
      <c r="B6" s="297">
        <v>151782</v>
      </c>
      <c r="C6" s="298">
        <v>313247</v>
      </c>
      <c r="D6" s="298">
        <v>615570.22456019814</v>
      </c>
      <c r="E6" s="410">
        <v>891829.96284852363</v>
      </c>
      <c r="F6" s="301">
        <f t="shared" si="0"/>
        <v>7.5144072560313475</v>
      </c>
      <c r="G6" s="294">
        <f t="shared" si="0"/>
        <v>6.9889852506115773</v>
      </c>
      <c r="H6" s="302">
        <f>(E6/D6)^(1/6)*100-100</f>
        <v>6.3736535090337867</v>
      </c>
      <c r="I6" s="313">
        <v>6</v>
      </c>
      <c r="K6" s="331" t="s">
        <v>0</v>
      </c>
      <c r="L6" s="416">
        <v>3.9700000000000006E-2</v>
      </c>
      <c r="M6" s="417">
        <v>4.3099999999999999E-2</v>
      </c>
      <c r="N6" s="418">
        <v>4.4200000000000003E-2</v>
      </c>
      <c r="O6" s="428">
        <v>2284</v>
      </c>
      <c r="P6" s="428">
        <v>10008.799999999999</v>
      </c>
      <c r="Q6" s="521">
        <v>12292.8</v>
      </c>
      <c r="R6" s="509">
        <v>2.3109000000000002</v>
      </c>
      <c r="S6" s="510">
        <v>0.73619999999999997</v>
      </c>
      <c r="T6" s="511">
        <f t="shared" ref="T6:T13" si="1">(W6/Q6)^(1/12)*100-100</f>
        <v>1.0498638287847371</v>
      </c>
      <c r="U6" s="204">
        <f t="shared" ref="U6:V12" si="2">O6*(1+0.01*R6)^12</f>
        <v>3004.4083488231504</v>
      </c>
      <c r="V6" s="205">
        <f t="shared" si="2"/>
        <v>10929.713603443335</v>
      </c>
      <c r="W6" s="206">
        <f>SUM(U6:V6)</f>
        <v>13934.121952266485</v>
      </c>
      <c r="AA6" s="283"/>
      <c r="AB6" s="285"/>
      <c r="AC6" s="283"/>
    </row>
    <row r="7" spans="1:29">
      <c r="A7" s="209" t="s">
        <v>95</v>
      </c>
      <c r="B7" s="299">
        <f>B6/B5</f>
        <v>2.2174109314668642</v>
      </c>
      <c r="C7" s="300">
        <f>C6/C5</f>
        <v>3.9383462182084714</v>
      </c>
      <c r="D7" s="300">
        <f>D6/D5</f>
        <v>6.9342133078923656</v>
      </c>
      <c r="E7" s="411">
        <f>E6/E5</f>
        <v>9.4208053878744593</v>
      </c>
      <c r="F7" s="301">
        <f t="shared" si="0"/>
        <v>5.9123905930316312</v>
      </c>
      <c r="G7" s="294">
        <f t="shared" si="0"/>
        <v>5.8201396919308053</v>
      </c>
      <c r="H7" s="302">
        <f>(E7/D7)^(1/6)*100-100</f>
        <v>5.2402341958777754</v>
      </c>
      <c r="I7" s="313">
        <v>5</v>
      </c>
      <c r="K7" s="203" t="s">
        <v>1</v>
      </c>
      <c r="L7" s="419">
        <v>4.1700000000000001E-2</v>
      </c>
      <c r="M7" s="420">
        <v>5.3600000000000002E-2</v>
      </c>
      <c r="N7" s="421">
        <v>5.4800000000000008E-2</v>
      </c>
      <c r="O7" s="429">
        <v>8719.7999999999993</v>
      </c>
      <c r="P7" s="429">
        <v>12846.600000000002</v>
      </c>
      <c r="Q7" s="521">
        <v>21566.400000000001</v>
      </c>
      <c r="R7" s="512">
        <v>3.9738000000000002</v>
      </c>
      <c r="S7" s="513">
        <v>-0.62439999999999996</v>
      </c>
      <c r="T7" s="514">
        <f t="shared" si="1"/>
        <v>1.5163094776111024</v>
      </c>
      <c r="U7" s="204">
        <f t="shared" si="2"/>
        <v>13918.534955796418</v>
      </c>
      <c r="V7" s="205">
        <f t="shared" si="2"/>
        <v>11916.408088142718</v>
      </c>
      <c r="W7" s="206">
        <f t="shared" ref="W7:W12" si="3">SUM(U7:V7)</f>
        <v>25834.943043939136</v>
      </c>
      <c r="AA7" s="283"/>
      <c r="AB7" s="285"/>
      <c r="AC7" s="283"/>
    </row>
    <row r="8" spans="1:29" ht="17" thickBot="1">
      <c r="A8" s="252" t="s">
        <v>96</v>
      </c>
      <c r="B8" s="333">
        <v>11200</v>
      </c>
      <c r="C8" s="334">
        <v>15279</v>
      </c>
      <c r="D8" s="334">
        <v>20894</v>
      </c>
      <c r="E8" s="408">
        <v>23000</v>
      </c>
      <c r="F8" s="335">
        <f t="shared" si="0"/>
        <v>3.1543842051850959</v>
      </c>
      <c r="G8" s="336">
        <f t="shared" si="0"/>
        <v>3.1793210939359682</v>
      </c>
      <c r="H8" s="337">
        <f>(E8/D8)^(1/6)*100-100</f>
        <v>1.6134135175223747</v>
      </c>
      <c r="I8" s="528">
        <v>1.5</v>
      </c>
      <c r="K8" s="203" t="s">
        <v>2</v>
      </c>
      <c r="L8" s="419">
        <v>4.4500000000000005E-2</v>
      </c>
      <c r="M8" s="420">
        <v>6.2600000000000003E-2</v>
      </c>
      <c r="N8" s="421">
        <v>6.0499999999999998E-2</v>
      </c>
      <c r="O8" s="429">
        <v>2266.4</v>
      </c>
      <c r="P8" s="429">
        <v>8408.1999999999989</v>
      </c>
      <c r="Q8" s="521">
        <v>10674.599999999999</v>
      </c>
      <c r="R8" s="512">
        <v>3.0741000000000001</v>
      </c>
      <c r="S8" s="513">
        <v>-1.6500000000000001E-2</v>
      </c>
      <c r="T8" s="514">
        <f t="shared" si="1"/>
        <v>0.73198186555347888</v>
      </c>
      <c r="U8" s="204">
        <f t="shared" si="2"/>
        <v>3259.3513469773916</v>
      </c>
      <c r="V8" s="205">
        <f t="shared" si="2"/>
        <v>8391.5668639677078</v>
      </c>
      <c r="W8" s="206">
        <f t="shared" si="3"/>
        <v>11650.918210945099</v>
      </c>
      <c r="AA8" s="283"/>
      <c r="AB8" s="285"/>
      <c r="AC8" s="283"/>
    </row>
    <row r="9" spans="1:29">
      <c r="A9" s="231" t="s">
        <v>170</v>
      </c>
      <c r="B9" s="295"/>
      <c r="C9" s="296"/>
      <c r="D9" s="296"/>
      <c r="E9" s="296"/>
      <c r="F9" s="338">
        <v>0.25</v>
      </c>
      <c r="G9" s="339">
        <v>1.0900000000000001</v>
      </c>
      <c r="H9" s="340">
        <v>1.07</v>
      </c>
      <c r="I9" s="311">
        <v>1.5</v>
      </c>
      <c r="J9" s="283"/>
      <c r="K9" s="203" t="s">
        <v>3</v>
      </c>
      <c r="L9" s="419">
        <v>4.7800000000000002E-2</v>
      </c>
      <c r="M9" s="420">
        <v>4.7699999999999999E-2</v>
      </c>
      <c r="N9" s="421">
        <v>4.9599999999999998E-2</v>
      </c>
      <c r="O9" s="429">
        <v>3510.9</v>
      </c>
      <c r="P9" s="429">
        <v>5871.4000000000005</v>
      </c>
      <c r="Q9" s="521">
        <v>9382.3000000000011</v>
      </c>
      <c r="R9" s="512">
        <v>1.4936</v>
      </c>
      <c r="S9" s="513">
        <v>0.1459</v>
      </c>
      <c r="T9" s="514">
        <f t="shared" si="1"/>
        <v>0.6736979202993183</v>
      </c>
      <c r="U9" s="204">
        <f t="shared" si="2"/>
        <v>4194.5207518585476</v>
      </c>
      <c r="V9" s="205">
        <f t="shared" si="2"/>
        <v>5975.0253863998169</v>
      </c>
      <c r="W9" s="206">
        <f t="shared" si="3"/>
        <v>10169.546138258363</v>
      </c>
      <c r="AA9" s="283"/>
      <c r="AB9" s="285"/>
      <c r="AC9" s="283"/>
    </row>
    <row r="10" spans="1:29">
      <c r="A10" s="209" t="s">
        <v>150</v>
      </c>
      <c r="B10" s="297"/>
      <c r="C10" s="298"/>
      <c r="D10" s="298"/>
      <c r="E10" s="298"/>
      <c r="F10" s="301">
        <v>2.86</v>
      </c>
      <c r="G10" s="294">
        <v>2.2200000000000002</v>
      </c>
      <c r="H10" s="341">
        <v>2</v>
      </c>
      <c r="I10" s="312"/>
      <c r="K10" s="203" t="s">
        <v>4</v>
      </c>
      <c r="L10" s="419">
        <v>4.7400000000000005E-2</v>
      </c>
      <c r="M10" s="420">
        <v>3.0800000000000001E-2</v>
      </c>
      <c r="N10" s="421">
        <v>3.8600000000000002E-2</v>
      </c>
      <c r="O10" s="429">
        <v>1736.3999999999999</v>
      </c>
      <c r="P10" s="429">
        <v>4134.5</v>
      </c>
      <c r="Q10" s="521">
        <v>5870.9</v>
      </c>
      <c r="R10" s="512">
        <v>1.6620999999999999</v>
      </c>
      <c r="S10" s="513">
        <v>1.1376999999999999</v>
      </c>
      <c r="T10" s="514">
        <f t="shared" si="1"/>
        <v>1.2959302797386698</v>
      </c>
      <c r="U10" s="204">
        <f t="shared" si="2"/>
        <v>2116.20967501409</v>
      </c>
      <c r="V10" s="205">
        <f t="shared" si="2"/>
        <v>4735.6529983951832</v>
      </c>
      <c r="W10" s="206">
        <f t="shared" si="3"/>
        <v>6851.8626734092732</v>
      </c>
      <c r="AA10" s="283"/>
      <c r="AB10" s="285"/>
      <c r="AC10" s="283"/>
    </row>
    <row r="11" spans="1:29">
      <c r="A11" s="209" t="s">
        <v>99</v>
      </c>
      <c r="B11" s="297"/>
      <c r="C11" s="298"/>
      <c r="D11" s="298"/>
      <c r="E11" s="298"/>
      <c r="F11" s="209"/>
      <c r="G11" s="193"/>
      <c r="H11" s="210"/>
      <c r="I11" s="312">
        <v>0.5</v>
      </c>
      <c r="J11" s="285"/>
      <c r="K11" s="203" t="s">
        <v>5</v>
      </c>
      <c r="L11" s="419">
        <v>3.1899999999999998E-2</v>
      </c>
      <c r="M11" s="420">
        <v>2.4799999999999999E-2</v>
      </c>
      <c r="N11" s="421">
        <v>3.1800000000000002E-2</v>
      </c>
      <c r="O11" s="429">
        <v>10761.599999999999</v>
      </c>
      <c r="P11" s="429">
        <v>6312.7000000000007</v>
      </c>
      <c r="Q11" s="521">
        <v>17074.3</v>
      </c>
      <c r="R11" s="512">
        <v>2.8068</v>
      </c>
      <c r="S11" s="513">
        <v>0.2233</v>
      </c>
      <c r="T11" s="514">
        <f t="shared" si="1"/>
        <v>1.933524301195817</v>
      </c>
      <c r="U11" s="204">
        <f t="shared" si="2"/>
        <v>15001.646999277662</v>
      </c>
      <c r="V11" s="205">
        <f t="shared" si="2"/>
        <v>6483.9481290085141</v>
      </c>
      <c r="W11" s="206">
        <f t="shared" si="3"/>
        <v>21485.595128286175</v>
      </c>
      <c r="AA11" s="283"/>
      <c r="AB11" s="285"/>
      <c r="AC11" s="283"/>
    </row>
    <row r="12" spans="1:29" s="283" customFormat="1" ht="17" thickBot="1">
      <c r="A12" s="209" t="s">
        <v>198</v>
      </c>
      <c r="B12" s="297"/>
      <c r="C12" s="298"/>
      <c r="D12" s="298"/>
      <c r="E12" s="298"/>
      <c r="F12" s="301"/>
      <c r="G12" s="294"/>
      <c r="H12" s="302"/>
      <c r="I12" s="313">
        <v>0</v>
      </c>
      <c r="J12" s="285"/>
      <c r="K12" s="212" t="s">
        <v>6</v>
      </c>
      <c r="L12" s="422">
        <v>3.8300000000000001E-2</v>
      </c>
      <c r="M12" s="423">
        <v>5.6300000000000003E-2</v>
      </c>
      <c r="N12" s="424">
        <v>5.1400000000000001E-2</v>
      </c>
      <c r="O12" s="430">
        <v>4550.8999999999987</v>
      </c>
      <c r="P12" s="430">
        <v>13253.8</v>
      </c>
      <c r="Q12" s="521">
        <v>17804.699999999997</v>
      </c>
      <c r="R12" s="515">
        <v>1.1758999999999999</v>
      </c>
      <c r="S12" s="516">
        <v>6.4000000000000001E-2</v>
      </c>
      <c r="T12" s="517">
        <f t="shared" si="1"/>
        <v>0.36132425921144318</v>
      </c>
      <c r="U12" s="204">
        <f t="shared" si="2"/>
        <v>5236.2721225230207</v>
      </c>
      <c r="V12" s="205">
        <f t="shared" si="2"/>
        <v>13355.948247398404</v>
      </c>
      <c r="W12" s="206">
        <f t="shared" si="3"/>
        <v>18592.220369921426</v>
      </c>
      <c r="AB12" s="285"/>
    </row>
    <row r="13" spans="1:29" ht="17" thickBot="1">
      <c r="A13" s="209" t="s">
        <v>199</v>
      </c>
      <c r="B13" s="297"/>
      <c r="C13" s="298"/>
      <c r="D13" s="298"/>
      <c r="E13" s="298"/>
      <c r="F13" s="301"/>
      <c r="G13" s="294"/>
      <c r="H13" s="302"/>
      <c r="I13" s="312">
        <v>1</v>
      </c>
      <c r="J13" s="285"/>
      <c r="K13" s="332" t="s">
        <v>148</v>
      </c>
      <c r="L13" s="425">
        <v>4.0599999999999997E-2</v>
      </c>
      <c r="M13" s="426">
        <v>4.7100000000000003E-2</v>
      </c>
      <c r="N13" s="427">
        <v>5.0900000000000001E-2</v>
      </c>
      <c r="O13" s="508">
        <v>33830</v>
      </c>
      <c r="P13" s="431">
        <v>60836</v>
      </c>
      <c r="Q13" s="432">
        <v>94666</v>
      </c>
      <c r="R13" s="518">
        <f>(U13/O13)^(1/12)*100-100</f>
        <v>2.7287207136372729</v>
      </c>
      <c r="S13" s="519">
        <f>(V13/P13)^(1/12)*100-100</f>
        <v>0.12951474340798086</v>
      </c>
      <c r="T13" s="520">
        <f t="shared" si="1"/>
        <v>1.1446033396397439</v>
      </c>
      <c r="U13" s="508">
        <f>SUM(U6:U12)</f>
        <v>46730.944200270278</v>
      </c>
      <c r="V13" s="431">
        <f>SUM(V6:V12)</f>
        <v>61788.263316755678</v>
      </c>
      <c r="W13" s="432">
        <f>V13+U13</f>
        <v>108519.20751702596</v>
      </c>
      <c r="AA13" s="283"/>
      <c r="AB13" s="285"/>
      <c r="AC13" s="283"/>
    </row>
    <row r="14" spans="1:29" ht="17" thickBot="1">
      <c r="A14" s="252" t="s">
        <v>200</v>
      </c>
      <c r="B14" s="333"/>
      <c r="C14" s="334"/>
      <c r="D14" s="334"/>
      <c r="E14" s="334"/>
      <c r="F14" s="335"/>
      <c r="G14" s="336"/>
      <c r="H14" s="337"/>
      <c r="I14" s="304">
        <v>1</v>
      </c>
      <c r="K14" s="358" t="s">
        <v>149</v>
      </c>
      <c r="M14" s="223"/>
      <c r="X14" s="283"/>
      <c r="Y14" s="283"/>
      <c r="Z14" s="283"/>
      <c r="AA14" s="283"/>
      <c r="AB14" s="283"/>
      <c r="AC14" s="283"/>
    </row>
    <row r="15" spans="1:29">
      <c r="A15" s="203" t="s">
        <v>98</v>
      </c>
      <c r="B15" s="216"/>
      <c r="C15" s="291"/>
      <c r="D15" s="217"/>
      <c r="E15" s="217"/>
      <c r="F15" s="216"/>
      <c r="G15" s="217"/>
      <c r="H15" s="315"/>
      <c r="I15" s="210"/>
      <c r="L15" s="283"/>
      <c r="M15" s="283"/>
      <c r="N15" s="283"/>
      <c r="O15" s="283"/>
      <c r="P15" s="283"/>
      <c r="Q15" s="283"/>
      <c r="R15" s="283"/>
      <c r="S15" s="283"/>
      <c r="T15" s="283"/>
      <c r="X15" s="283"/>
      <c r="Y15" s="283"/>
      <c r="Z15" s="283"/>
      <c r="AA15" s="283"/>
      <c r="AB15" s="283"/>
      <c r="AC15" s="283"/>
    </row>
    <row r="16" spans="1:29">
      <c r="A16" s="203" t="s">
        <v>99</v>
      </c>
      <c r="B16" s="216"/>
      <c r="C16" s="217"/>
      <c r="D16" s="217"/>
      <c r="E16" s="217"/>
      <c r="F16" s="216"/>
      <c r="G16" s="217"/>
      <c r="H16" s="218"/>
      <c r="I16" s="312">
        <v>2.08</v>
      </c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AB16" s="283"/>
      <c r="AC16" s="283"/>
    </row>
    <row r="17" spans="1:20" ht="17" thickBot="1">
      <c r="A17" s="212" t="s">
        <v>100</v>
      </c>
      <c r="B17" s="219"/>
      <c r="C17" s="220"/>
      <c r="D17" s="220"/>
      <c r="E17" s="220"/>
      <c r="F17" s="322"/>
      <c r="G17" s="220"/>
      <c r="H17" s="221"/>
      <c r="I17" s="304">
        <v>-1.32</v>
      </c>
      <c r="K17" s="283"/>
      <c r="L17" s="283"/>
      <c r="M17" s="283"/>
      <c r="N17" s="283"/>
      <c r="O17" s="283"/>
      <c r="P17" s="283"/>
      <c r="Q17" s="283"/>
      <c r="R17" s="283"/>
      <c r="S17" s="283"/>
      <c r="T17" s="283"/>
    </row>
    <row r="18" spans="1:20">
      <c r="A18" s="231" t="s">
        <v>171</v>
      </c>
      <c r="B18" s="316"/>
      <c r="C18" s="317"/>
      <c r="D18" s="317"/>
      <c r="E18" s="317"/>
      <c r="F18" s="231"/>
      <c r="G18" s="237"/>
      <c r="H18" s="199"/>
      <c r="I18" s="318"/>
      <c r="K18" s="283"/>
      <c r="L18" s="283"/>
      <c r="M18" s="283"/>
      <c r="N18" s="283"/>
      <c r="O18" s="283"/>
      <c r="P18" s="283"/>
      <c r="Q18" s="283"/>
      <c r="R18" s="283"/>
      <c r="S18" s="283"/>
      <c r="T18" s="283"/>
    </row>
    <row r="19" spans="1:20">
      <c r="A19" s="209" t="s">
        <v>97</v>
      </c>
      <c r="B19" s="301">
        <v>1.56</v>
      </c>
      <c r="C19" s="294">
        <v>3.08</v>
      </c>
      <c r="D19" s="294">
        <v>4.3</v>
      </c>
      <c r="E19" s="412">
        <v>4.72</v>
      </c>
      <c r="F19" s="301">
        <f>(C19/B19)^(1/10)*100-100</f>
        <v>7.0391401704623604</v>
      </c>
      <c r="G19" s="294">
        <f>(D19/C19)^(1/10)*100-100</f>
        <v>3.3931516813627809</v>
      </c>
      <c r="H19" s="413">
        <f>(E19/D19)^(1/6)*100-100</f>
        <v>1.565354922765863</v>
      </c>
      <c r="I19" s="210"/>
      <c r="K19" s="283"/>
      <c r="L19" s="283"/>
      <c r="M19" s="283"/>
      <c r="N19" s="283"/>
      <c r="O19" s="283"/>
      <c r="P19" s="283"/>
      <c r="Q19" s="283"/>
      <c r="R19" s="283"/>
      <c r="S19" s="283"/>
      <c r="T19" s="283"/>
    </row>
    <row r="20" spans="1:20" s="283" customFormat="1">
      <c r="A20" s="209" t="s">
        <v>147</v>
      </c>
      <c r="B20" s="373">
        <v>57.4</v>
      </c>
      <c r="C20" s="374">
        <v>71.400000000000006</v>
      </c>
      <c r="D20" s="374">
        <v>119.3</v>
      </c>
      <c r="E20" s="414">
        <v>135.56456224979479</v>
      </c>
      <c r="F20" s="373">
        <f>(C20/B20)^(1/10)*100-100</f>
        <v>2.2065271930807882</v>
      </c>
      <c r="G20" s="374">
        <f>(D20/C20)^(1/10)*100-100</f>
        <v>5.2674792032537425</v>
      </c>
      <c r="H20" s="415">
        <f>(E20/D20)^(1/6)*100-100</f>
        <v>2.1529600136945817</v>
      </c>
      <c r="I20" s="210"/>
    </row>
    <row r="21" spans="1:20" ht="17" thickBot="1">
      <c r="A21" s="252" t="s">
        <v>172</v>
      </c>
      <c r="B21" s="306"/>
      <c r="C21" s="307"/>
      <c r="D21" s="307"/>
      <c r="E21" s="319"/>
      <c r="F21" s="308"/>
      <c r="G21" s="309"/>
      <c r="H21" s="310"/>
      <c r="I21" s="304">
        <v>1</v>
      </c>
      <c r="K21" s="283"/>
      <c r="L21" s="283"/>
      <c r="M21" s="283"/>
      <c r="N21" s="283"/>
      <c r="O21" s="283"/>
      <c r="P21" s="283"/>
      <c r="Q21" s="283"/>
      <c r="R21" s="283"/>
      <c r="S21" s="283"/>
      <c r="T21" s="283"/>
    </row>
    <row r="22" spans="1:20">
      <c r="A22" s="222" t="s">
        <v>209</v>
      </c>
      <c r="B22" s="193"/>
      <c r="C22" s="193"/>
      <c r="D22" s="193"/>
      <c r="E22" s="193"/>
      <c r="F22" s="193"/>
      <c r="G22" s="193"/>
      <c r="H22" s="193"/>
      <c r="I22" s="193"/>
      <c r="K22" s="283"/>
      <c r="P22" s="283"/>
      <c r="Q22" s="285"/>
      <c r="R22" s="285"/>
      <c r="S22" s="285"/>
      <c r="T22" s="283"/>
    </row>
    <row r="23" spans="1:20">
      <c r="A23" s="375" t="s">
        <v>173</v>
      </c>
      <c r="K23" s="283"/>
      <c r="P23" s="283"/>
      <c r="Q23" s="285"/>
      <c r="R23" s="285"/>
      <c r="S23" s="285"/>
      <c r="T23" s="283"/>
    </row>
    <row r="24" spans="1:20">
      <c r="C24" s="292"/>
      <c r="D24" s="292"/>
      <c r="E24" s="292"/>
      <c r="K24" s="283"/>
      <c r="L24" s="283"/>
      <c r="M24" s="283"/>
      <c r="N24" s="283"/>
      <c r="O24" s="283"/>
      <c r="P24" s="283"/>
      <c r="Q24" s="283"/>
      <c r="R24" s="283"/>
      <c r="S24" s="283"/>
      <c r="T24" s="283"/>
    </row>
    <row r="25" spans="1:20">
      <c r="K25" s="283"/>
      <c r="P25" s="283"/>
      <c r="Q25" s="283"/>
      <c r="R25" s="283"/>
      <c r="S25" s="283"/>
      <c r="T25" s="283"/>
    </row>
    <row r="26" spans="1:20">
      <c r="O26" s="283"/>
      <c r="P26" s="283"/>
      <c r="Q26" s="283"/>
      <c r="R26" s="283"/>
      <c r="S26" s="283"/>
      <c r="T26" s="283"/>
    </row>
    <row r="27" spans="1:20">
      <c r="O27" s="283"/>
      <c r="P27" s="283"/>
      <c r="Q27" s="283"/>
      <c r="R27" s="283"/>
      <c r="S27" s="283"/>
      <c r="T27" s="283"/>
    </row>
    <row r="28" spans="1:20">
      <c r="Q28" s="283"/>
      <c r="R28" s="283"/>
      <c r="S28" s="283"/>
      <c r="T28" s="283"/>
    </row>
    <row r="29" spans="1:20">
      <c r="Q29" s="283"/>
      <c r="R29" s="283"/>
      <c r="S29" s="283"/>
      <c r="T29" s="283"/>
    </row>
  </sheetData>
  <mergeCells count="7">
    <mergeCell ref="U4:W4"/>
    <mergeCell ref="A3:A4"/>
    <mergeCell ref="F3:H3"/>
    <mergeCell ref="R4:T4"/>
    <mergeCell ref="B3:E3"/>
    <mergeCell ref="O4:Q4"/>
    <mergeCell ref="L4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X112"/>
  <sheetViews>
    <sheetView tabSelected="1" zoomScale="80" zoomScaleNormal="80" workbookViewId="0">
      <pane xSplit="3" ySplit="5" topLeftCell="CK6" activePane="bottomRight" state="frozen"/>
      <selection pane="topRight" activeCell="D1" sqref="D1"/>
      <selection pane="bottomLeft" activeCell="A6" sqref="A6"/>
      <selection pane="bottomRight" activeCell="CT6" sqref="CT6"/>
    </sheetView>
  </sheetViews>
  <sheetFormatPr baseColWidth="10" defaultColWidth="8.83203125" defaultRowHeight="16"/>
  <cols>
    <col min="1" max="1" width="3" style="59" customWidth="1"/>
    <col min="2" max="2" width="5.33203125" style="58" customWidth="1"/>
    <col min="3" max="3" width="5.6640625" style="58" bestFit="1" customWidth="1"/>
    <col min="4" max="4" width="11.33203125" style="58" customWidth="1"/>
    <col min="5" max="5" width="8.5" style="58" bestFit="1" customWidth="1"/>
    <col min="6" max="6" width="7.1640625" style="58" bestFit="1" customWidth="1"/>
    <col min="7" max="7" width="6.1640625" style="58" bestFit="1" customWidth="1"/>
    <col min="8" max="8" width="5.83203125" style="58" bestFit="1" customWidth="1"/>
    <col min="9" max="9" width="7.33203125" style="58" bestFit="1" customWidth="1"/>
    <col min="10" max="10" width="8.5" style="58" bestFit="1" customWidth="1"/>
    <col min="11" max="11" width="7.1640625" style="58" bestFit="1" customWidth="1"/>
    <col min="12" max="12" width="6.1640625" style="58" bestFit="1" customWidth="1"/>
    <col min="13" max="13" width="7.83203125" style="58" bestFit="1" customWidth="1"/>
    <col min="14" max="14" width="7.5" style="58" bestFit="1" customWidth="1"/>
    <col min="15" max="15" width="6.33203125" style="58" bestFit="1" customWidth="1"/>
    <col min="16" max="16" width="9.5" style="58" bestFit="1" customWidth="1"/>
    <col min="17" max="17" width="9.6640625" style="58" bestFit="1" customWidth="1"/>
    <col min="18" max="18" width="10" style="58" bestFit="1" customWidth="1"/>
    <col min="19" max="19" width="9.83203125" style="58" bestFit="1" customWidth="1"/>
    <col min="20" max="20" width="10" style="58" bestFit="1" customWidth="1"/>
    <col min="21" max="21" width="7.33203125" style="58" bestFit="1" customWidth="1"/>
    <col min="22" max="22" width="8.5" style="58" bestFit="1" customWidth="1"/>
    <col min="23" max="23" width="7.5" style="58" bestFit="1" customWidth="1"/>
    <col min="24" max="24" width="7.1640625" style="58" bestFit="1" customWidth="1"/>
    <col min="25" max="25" width="7.5" style="58" bestFit="1" customWidth="1"/>
    <col min="26" max="26" width="7.33203125" style="58" bestFit="1" customWidth="1"/>
    <col min="27" max="27" width="8.5" style="58" bestFit="1" customWidth="1"/>
    <col min="28" max="28" width="7.1640625" style="58" bestFit="1" customWidth="1"/>
    <col min="29" max="29" width="6.1640625" style="58" bestFit="1" customWidth="1"/>
    <col min="30" max="30" width="5.83203125" style="58" bestFit="1" customWidth="1"/>
    <col min="31" max="31" width="7.33203125" style="58" bestFit="1" customWidth="1"/>
    <col min="32" max="32" width="8.5" style="58" bestFit="1" customWidth="1"/>
    <col min="33" max="33" width="7.1640625" style="58" bestFit="1" customWidth="1"/>
    <col min="34" max="34" width="7.83203125" style="58" bestFit="1" customWidth="1"/>
    <col min="35" max="35" width="7.1640625" style="58" bestFit="1" customWidth="1"/>
    <col min="36" max="36" width="8.83203125" style="58"/>
    <col min="37" max="37" width="3.83203125" style="59" customWidth="1"/>
    <col min="38" max="38" width="5.33203125" style="58" customWidth="1"/>
    <col min="39" max="39" width="5.6640625" style="58" bestFit="1" customWidth="1"/>
    <col min="40" max="40" width="7.33203125" style="58" bestFit="1" customWidth="1"/>
    <col min="41" max="41" width="8.5" style="58" bestFit="1" customWidth="1"/>
    <col min="42" max="42" width="7.1640625" style="58" bestFit="1" customWidth="1"/>
    <col min="43" max="43" width="6.1640625" style="58" bestFit="1" customWidth="1"/>
    <col min="44" max="44" width="5.83203125" style="58" bestFit="1" customWidth="1"/>
    <col min="45" max="45" width="7.33203125" style="58" bestFit="1" customWidth="1"/>
    <col min="46" max="46" width="8.5" style="58" bestFit="1" customWidth="1"/>
    <col min="47" max="47" width="7.1640625" style="58" bestFit="1" customWidth="1"/>
    <col min="48" max="48" width="6.1640625" style="58" bestFit="1" customWidth="1"/>
    <col min="49" max="49" width="7.83203125" style="58" bestFit="1" customWidth="1"/>
    <col min="50" max="50" width="7.5" style="58" bestFit="1" customWidth="1"/>
    <col min="51" max="51" width="6.33203125" style="58" bestFit="1" customWidth="1"/>
    <col min="52" max="52" width="9.5" style="58" bestFit="1" customWidth="1"/>
    <col min="53" max="53" width="9.6640625" style="58" bestFit="1" customWidth="1"/>
    <col min="54" max="54" width="10" style="58" bestFit="1" customWidth="1"/>
    <col min="55" max="55" width="9.83203125" style="58" bestFit="1" customWidth="1"/>
    <col min="56" max="56" width="10" style="58" bestFit="1" customWidth="1"/>
    <col min="57" max="57" width="7.33203125" style="58" bestFit="1" customWidth="1"/>
    <col min="58" max="58" width="8.5" style="58" bestFit="1" customWidth="1"/>
    <col min="59" max="59" width="7.5" style="58" bestFit="1" customWidth="1"/>
    <col min="60" max="60" width="7.1640625" style="58" bestFit="1" customWidth="1"/>
    <col min="61" max="61" width="7.5" style="58" bestFit="1" customWidth="1"/>
    <col min="62" max="62" width="7.33203125" style="58" bestFit="1" customWidth="1"/>
    <col min="63" max="63" width="8.5" style="58" bestFit="1" customWidth="1"/>
    <col min="64" max="64" width="7.1640625" style="58" bestFit="1" customWidth="1"/>
    <col min="65" max="65" width="6.1640625" style="58" bestFit="1" customWidth="1"/>
    <col min="66" max="66" width="5.83203125" style="58" bestFit="1" customWidth="1"/>
    <col min="67" max="67" width="7.33203125" style="58" bestFit="1" customWidth="1"/>
    <col min="68" max="68" width="8.5" style="58" bestFit="1" customWidth="1"/>
    <col min="69" max="69" width="7.1640625" style="58" bestFit="1" customWidth="1"/>
    <col min="70" max="70" width="6.83203125" style="58" bestFit="1" customWidth="1"/>
    <col min="71" max="71" width="7.1640625" style="58" bestFit="1" customWidth="1"/>
    <col min="72" max="73" width="8.83203125" style="58"/>
    <col min="74" max="74" width="7" style="58" bestFit="1" customWidth="1"/>
    <col min="75" max="75" width="6.33203125" style="58" bestFit="1" customWidth="1"/>
    <col min="76" max="76" width="6.5" style="58" bestFit="1" customWidth="1"/>
    <col min="77" max="77" width="6.83203125" style="58" bestFit="1" customWidth="1"/>
    <col min="78" max="78" width="10.33203125" style="58" customWidth="1"/>
    <col min="79" max="79" width="7" style="58" bestFit="1" customWidth="1"/>
    <col min="80" max="80" width="8.83203125" style="58"/>
    <col min="81" max="81" width="6.33203125" style="58" bestFit="1" customWidth="1"/>
    <col min="82" max="82" width="6.5" style="58" bestFit="1" customWidth="1"/>
    <col min="83" max="83" width="6.83203125" style="58" bestFit="1" customWidth="1"/>
    <col min="84" max="87" width="8.83203125" style="58"/>
    <col min="88" max="88" width="13.83203125" style="58" customWidth="1"/>
    <col min="89" max="89" width="14.83203125" style="58" customWidth="1"/>
    <col min="90" max="90" width="16" style="58" customWidth="1"/>
    <col min="91" max="91" width="14.5" style="58" customWidth="1"/>
    <col min="92" max="92" width="8.83203125" style="58"/>
    <col min="93" max="93" width="13.6640625" style="58" customWidth="1"/>
    <col min="94" max="94" width="16.1640625" style="58" customWidth="1"/>
    <col min="95" max="95" width="13" style="58" customWidth="1"/>
    <col min="96" max="96" width="13.83203125" style="58" customWidth="1"/>
    <col min="97" max="16384" width="8.83203125" style="58"/>
  </cols>
  <sheetData>
    <row r="1" spans="1:102">
      <c r="A1" s="57" t="s">
        <v>194</v>
      </c>
      <c r="D1" s="57"/>
      <c r="AK1" s="57" t="s">
        <v>193</v>
      </c>
      <c r="AN1" s="57"/>
    </row>
    <row r="2" spans="1:102" ht="17" thickBot="1">
      <c r="A2" s="56" t="s">
        <v>62</v>
      </c>
      <c r="AK2" s="56" t="s">
        <v>62</v>
      </c>
    </row>
    <row r="3" spans="1:102" ht="17" thickBot="1">
      <c r="A3" s="347"/>
      <c r="B3" s="745"/>
      <c r="C3" s="745"/>
      <c r="D3" s="679" t="s">
        <v>33</v>
      </c>
      <c r="E3" s="680"/>
      <c r="F3" s="680"/>
      <c r="G3" s="680"/>
      <c r="H3" s="681"/>
      <c r="I3" s="682" t="s">
        <v>34</v>
      </c>
      <c r="J3" s="683"/>
      <c r="K3" s="683"/>
      <c r="L3" s="683"/>
      <c r="M3" s="683"/>
      <c r="N3" s="683"/>
      <c r="O3" s="684"/>
      <c r="P3" s="679" t="s">
        <v>35</v>
      </c>
      <c r="Q3" s="680"/>
      <c r="R3" s="680"/>
      <c r="S3" s="680"/>
      <c r="T3" s="681"/>
      <c r="U3" s="679" t="s">
        <v>36</v>
      </c>
      <c r="V3" s="680"/>
      <c r="W3" s="680"/>
      <c r="X3" s="680"/>
      <c r="Y3" s="681"/>
      <c r="Z3" s="682" t="s">
        <v>37</v>
      </c>
      <c r="AA3" s="683"/>
      <c r="AB3" s="683"/>
      <c r="AC3" s="683"/>
      <c r="AD3" s="684"/>
      <c r="AE3" s="682" t="s">
        <v>38</v>
      </c>
      <c r="AF3" s="683"/>
      <c r="AG3" s="683"/>
      <c r="AH3" s="683"/>
      <c r="AI3" s="684"/>
      <c r="AK3" s="347"/>
      <c r="AL3" s="745"/>
      <c r="AM3" s="745"/>
      <c r="AN3" s="679" t="s">
        <v>33</v>
      </c>
      <c r="AO3" s="680"/>
      <c r="AP3" s="680"/>
      <c r="AQ3" s="680"/>
      <c r="AR3" s="681"/>
      <c r="AS3" s="682" t="s">
        <v>34</v>
      </c>
      <c r="AT3" s="683"/>
      <c r="AU3" s="683"/>
      <c r="AV3" s="683"/>
      <c r="AW3" s="683"/>
      <c r="AX3" s="683"/>
      <c r="AY3" s="684"/>
      <c r="AZ3" s="679" t="s">
        <v>35</v>
      </c>
      <c r="BA3" s="680"/>
      <c r="BB3" s="680"/>
      <c r="BC3" s="680"/>
      <c r="BD3" s="681"/>
      <c r="BE3" s="679" t="s">
        <v>36</v>
      </c>
      <c r="BF3" s="680"/>
      <c r="BG3" s="680"/>
      <c r="BH3" s="680"/>
      <c r="BI3" s="681"/>
      <c r="BJ3" s="682" t="s">
        <v>37</v>
      </c>
      <c r="BK3" s="683"/>
      <c r="BL3" s="683"/>
      <c r="BM3" s="683"/>
      <c r="BN3" s="684"/>
      <c r="BO3" s="682" t="s">
        <v>38</v>
      </c>
      <c r="BP3" s="683"/>
      <c r="BQ3" s="683"/>
      <c r="BR3" s="683"/>
      <c r="BS3" s="684"/>
      <c r="BU3" s="57" t="s">
        <v>249</v>
      </c>
      <c r="CJ3" s="747" t="s">
        <v>273</v>
      </c>
      <c r="CK3" s="747"/>
      <c r="CL3" s="747"/>
      <c r="CM3" s="747"/>
      <c r="CN3" s="747"/>
      <c r="CO3" s="747"/>
      <c r="CP3" s="747"/>
      <c r="CQ3" s="747"/>
      <c r="CR3" s="747"/>
      <c r="CS3" s="747"/>
      <c r="CT3" s="747"/>
      <c r="CU3" s="747"/>
      <c r="CV3" s="747"/>
      <c r="CW3" s="747"/>
      <c r="CX3" s="747"/>
    </row>
    <row r="4" spans="1:102" ht="17" thickBot="1">
      <c r="A4" s="348"/>
      <c r="B4" s="746"/>
      <c r="C4" s="746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47" t="s">
        <v>39</v>
      </c>
      <c r="AK4" s="348"/>
      <c r="AL4" s="746"/>
      <c r="AM4" s="746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47" t="s">
        <v>39</v>
      </c>
      <c r="BU4" s="58" t="s">
        <v>250</v>
      </c>
      <c r="CJ4" s="747" t="s">
        <v>274</v>
      </c>
      <c r="CK4" s="747"/>
      <c r="CL4" s="747"/>
      <c r="CM4" s="747"/>
      <c r="CN4" s="747"/>
      <c r="CO4" s="747" t="s">
        <v>275</v>
      </c>
      <c r="CP4" s="747"/>
      <c r="CQ4" s="747"/>
      <c r="CR4" s="747"/>
      <c r="CS4" s="747" t="s">
        <v>276</v>
      </c>
      <c r="CT4" s="747"/>
      <c r="CU4" s="747"/>
      <c r="CV4" s="747"/>
      <c r="CW4" s="747"/>
      <c r="CX4" s="747"/>
    </row>
    <row r="5" spans="1:102" ht="17" thickBot="1">
      <c r="A5" s="348"/>
      <c r="B5" s="746"/>
      <c r="C5" s="746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45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46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47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47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47" t="s">
        <v>24</v>
      </c>
      <c r="AF5" s="347" t="s">
        <v>25</v>
      </c>
      <c r="AG5" s="347" t="s">
        <v>26</v>
      </c>
      <c r="AH5" s="93" t="s">
        <v>56</v>
      </c>
      <c r="AI5" s="347" t="s">
        <v>27</v>
      </c>
      <c r="AK5" s="348"/>
      <c r="AL5" s="746"/>
      <c r="AM5" s="746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45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46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47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47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47" t="s">
        <v>24</v>
      </c>
      <c r="BP5" s="347" t="s">
        <v>25</v>
      </c>
      <c r="BQ5" s="347" t="s">
        <v>26</v>
      </c>
      <c r="BR5" s="93" t="s">
        <v>56</v>
      </c>
      <c r="BS5" s="347" t="s">
        <v>27</v>
      </c>
      <c r="BU5" s="61"/>
      <c r="BV5" s="604" t="s">
        <v>254</v>
      </c>
      <c r="BW5" s="614" t="s">
        <v>251</v>
      </c>
      <c r="BX5" s="614" t="s">
        <v>252</v>
      </c>
      <c r="BY5" s="615" t="s">
        <v>253</v>
      </c>
      <c r="BZ5" s="60" t="s">
        <v>247</v>
      </c>
      <c r="CA5" s="594" t="s">
        <v>245</v>
      </c>
      <c r="CB5" s="149" t="s">
        <v>255</v>
      </c>
      <c r="CC5" s="622" t="s">
        <v>256</v>
      </c>
      <c r="CD5" s="622" t="s">
        <v>257</v>
      </c>
      <c r="CE5" s="623" t="s">
        <v>258</v>
      </c>
      <c r="CF5" s="64" t="s">
        <v>248</v>
      </c>
      <c r="CG5" s="67" t="s">
        <v>246</v>
      </c>
      <c r="CJ5" s="747" t="s">
        <v>277</v>
      </c>
      <c r="CK5" s="747" t="s">
        <v>278</v>
      </c>
      <c r="CL5" s="747" t="s">
        <v>279</v>
      </c>
      <c r="CM5" s="747" t="s">
        <v>280</v>
      </c>
      <c r="CN5" s="747"/>
      <c r="CO5" s="747" t="s">
        <v>114</v>
      </c>
      <c r="CP5" s="747" t="s">
        <v>278</v>
      </c>
      <c r="CQ5" s="747" t="s">
        <v>281</v>
      </c>
      <c r="CR5" s="747" t="s">
        <v>280</v>
      </c>
      <c r="CS5" s="747"/>
      <c r="CT5" s="747" t="s">
        <v>114</v>
      </c>
      <c r="CU5" s="747" t="s">
        <v>278</v>
      </c>
      <c r="CV5" s="747" t="s">
        <v>279</v>
      </c>
      <c r="CW5" s="747" t="s">
        <v>280</v>
      </c>
      <c r="CX5" s="747"/>
    </row>
    <row r="6" spans="1:102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595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595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595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47">
        <v>8</v>
      </c>
      <c r="AL6" s="349">
        <v>2018</v>
      </c>
      <c r="AM6" s="350" t="s">
        <v>57</v>
      </c>
      <c r="AN6" s="165">
        <f t="shared" ref="AN6:AW18" si="12">SUMIFS(AN$19:AN$109,$AL$19:$AL$109,$AL6)</f>
        <v>754.57999192206967</v>
      </c>
      <c r="AO6" s="70">
        <f t="shared" si="12"/>
        <v>1059.4367831280683</v>
      </c>
      <c r="AP6" s="70">
        <f t="shared" si="12"/>
        <v>97.747074134229763</v>
      </c>
      <c r="AQ6" s="597">
        <f t="shared" si="12"/>
        <v>1911.7638491843677</v>
      </c>
      <c r="AR6" s="71">
        <f t="shared" si="12"/>
        <v>4246.4333566721834</v>
      </c>
      <c r="AS6" s="165">
        <f t="shared" si="12"/>
        <v>754.57999192206967</v>
      </c>
      <c r="AT6" s="70">
        <f t="shared" si="12"/>
        <v>1059.4367831280681</v>
      </c>
      <c r="AU6" s="70">
        <f t="shared" si="12"/>
        <v>95.751636940187325</v>
      </c>
      <c r="AV6" s="597">
        <f t="shared" si="12"/>
        <v>1909.7684119903249</v>
      </c>
      <c r="AW6" s="70">
        <f t="shared" si="12"/>
        <v>217.21155814112998</v>
      </c>
      <c r="AX6" s="70">
        <f t="shared" ref="AX6:BI18" si="13">SUMIFS(AX$19:AX$109,$AL$19:$AL$109,$AL6)</f>
        <v>12835.395477989525</v>
      </c>
      <c r="AY6" s="97">
        <f t="shared" si="13"/>
        <v>13052.607036130656</v>
      </c>
      <c r="AZ6" s="166">
        <f t="shared" si="13"/>
        <v>7.0000000000014495E-3</v>
      </c>
      <c r="BA6" s="68">
        <f t="shared" si="13"/>
        <v>7.0000000000067786E-3</v>
      </c>
      <c r="BB6" s="68">
        <f t="shared" si="13"/>
        <v>6.9999999999994511E-3</v>
      </c>
      <c r="BC6" s="87">
        <f t="shared" si="13"/>
        <v>2.1000000000007901E-2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2.0024371940424079</v>
      </c>
      <c r="BH6" s="87">
        <f t="shared" si="13"/>
        <v>2.0164371940424082</v>
      </c>
      <c r="BI6" s="71">
        <f t="shared" si="13"/>
        <v>-8806.1666794584708</v>
      </c>
      <c r="BJ6" s="166">
        <f t="shared" ref="BJ6:BJ39" si="14">AN6-AS6-AZ6-BE6</f>
        <v>-1.4000000000001449E-2</v>
      </c>
      <c r="BK6" s="68">
        <f t="shared" ref="BK6:BK39" si="15">AO6-AT6-BA6-BF6</f>
        <v>-1.3999999999779404E-2</v>
      </c>
      <c r="BL6" s="68">
        <f t="shared" ref="BL6:BL39" si="16">AP6-AU6-BB6-BG6</f>
        <v>-1.399999999996937E-2</v>
      </c>
      <c r="BM6" s="87">
        <f t="shared" ref="BM6:BM17" si="17">AQ6-AV6-BC6-BH6</f>
        <v>-4.1999999999636994E-2</v>
      </c>
      <c r="BN6" s="69">
        <f t="shared" ref="BN6:BN39" si="18">AR6-AW6-AX6-BD6-BI6</f>
        <v>-1.4000000001033186E-2</v>
      </c>
      <c r="BO6" s="165">
        <f t="shared" ref="BO6:BO18" si="19">(BO19*AS19+BO32*AS32+BO45*AS45+BO58*AS58+BO71*AS71+BO84*AS84+BO97*AS97)/(AS19+AS32+AS45+AS58+AS71+AS84+AS97)</f>
        <v>79291.006026788498</v>
      </c>
      <c r="BP6" s="70">
        <f t="shared" ref="BP6:BP18" si="20">(BP19*AT19+BP32*AT32+BP45*AT45+BP58*AT58+BP71*AT71+BP84*AT84+BP97*AT97)/(AT19+AT32+AT45+AT58+AT71+AT84+AT97)</f>
        <v>79472.188203116253</v>
      </c>
      <c r="BQ6" s="70">
        <f t="shared" ref="BQ6:BQ18" si="21">(BQ19*AU19+BQ32*AU32+BQ45*AU45+BQ58*AU58+BQ71*AU71+BQ84*AU84+BQ97*AU97)/(AU19+AU32+AU45+AU58+AU71+AU84+AU97)</f>
        <v>82941.792586116542</v>
      </c>
      <c r="BR6" s="597">
        <f t="shared" ref="BR6:BR18" si="22">(BR19*AV19+BR32*AV32+BR45*AV45+BR58*AV58+BR71*AV71+BR84*AV84+BR97*AV97)/(AV19+AV32+AV45+AV58+AV71+AV84+AV97)</f>
        <v>79574.558654334251</v>
      </c>
      <c r="BS6" s="71">
        <f t="shared" ref="BS6:BS18" si="23">(BS19*AY19+BS32*AY32+BS45*AY45+BS58*AY58+BS71*AY71+BS84*AY84+BS97*AY97)/(AY19+AY32+AY45+AY58+AY71+AY84+AY97)</f>
        <v>7099.9176596539928</v>
      </c>
      <c r="BU6" s="351">
        <f>AL6</f>
        <v>2018</v>
      </c>
      <c r="BV6" s="605">
        <f>G6</f>
        <v>1911.7638491843672</v>
      </c>
      <c r="BW6" s="616">
        <f>D6</f>
        <v>754.57999192206978</v>
      </c>
      <c r="BX6" s="616">
        <f>E6</f>
        <v>1059.4367831280679</v>
      </c>
      <c r="BY6" s="617">
        <f>F6</f>
        <v>97.74707413422972</v>
      </c>
      <c r="BZ6" s="608">
        <f>L6</f>
        <v>1909.7684119903251</v>
      </c>
      <c r="CA6" s="609">
        <f>AH6</f>
        <v>79574.558654334222</v>
      </c>
      <c r="CB6" s="605">
        <f>AQ6</f>
        <v>1911.7638491843677</v>
      </c>
      <c r="CC6" s="616">
        <f>AN6</f>
        <v>754.57999192206967</v>
      </c>
      <c r="CD6" s="616">
        <f>AO6</f>
        <v>1059.4367831280683</v>
      </c>
      <c r="CE6" s="617">
        <f>AP6</f>
        <v>97.747074134229763</v>
      </c>
      <c r="CF6" s="608">
        <f>AV6</f>
        <v>1909.7684119903249</v>
      </c>
      <c r="CG6" s="609">
        <f>BR6</f>
        <v>79574.558654334251</v>
      </c>
      <c r="CH6" s="598">
        <f>CG6/CA6*100-100</f>
        <v>0</v>
      </c>
      <c r="CJ6" s="748">
        <f>BV6*AH6</f>
        <v>152127764.55015719</v>
      </c>
      <c r="CK6" s="749">
        <f>AE6*BW6</f>
        <v>59831406.68718683</v>
      </c>
      <c r="CL6" s="749">
        <f>AF6*BX6</f>
        <v>84195759.418057814</v>
      </c>
      <c r="CM6" s="749">
        <f>AG6*BY6</f>
        <v>8107317.5487410361</v>
      </c>
      <c r="CN6" s="747"/>
      <c r="CO6" s="749">
        <f>CB6*CG6</f>
        <v>152127764.55015728</v>
      </c>
      <c r="CP6" s="749">
        <f>AN6*BO6</f>
        <v>59831406.687186845</v>
      </c>
      <c r="CQ6" s="749">
        <f t="shared" ref="CQ6:CR18" si="24">AO6*BP6</f>
        <v>84195759.418057904</v>
      </c>
      <c r="CR6" s="749">
        <f t="shared" si="24"/>
        <v>8107317.5487410426</v>
      </c>
      <c r="CS6" s="747"/>
      <c r="CT6" s="747"/>
      <c r="CU6" s="747"/>
      <c r="CV6" s="747"/>
      <c r="CW6" s="747"/>
      <c r="CX6" s="747"/>
    </row>
    <row r="7" spans="1:102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596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596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596">
        <f t="shared" si="10"/>
        <v>83738.595456875788</v>
      </c>
      <c r="AI7" s="116">
        <f t="shared" si="11"/>
        <v>7400.8825586847297</v>
      </c>
      <c r="AK7" s="348">
        <v>8</v>
      </c>
      <c r="AL7" s="351">
        <v>2019</v>
      </c>
      <c r="AM7" s="352" t="s">
        <v>57</v>
      </c>
      <c r="AN7" s="167">
        <f t="shared" si="12"/>
        <v>519.62756574953846</v>
      </c>
      <c r="AO7" s="74">
        <f t="shared" si="12"/>
        <v>901.90737744594276</v>
      </c>
      <c r="AP7" s="74">
        <f t="shared" si="12"/>
        <v>106.23261478598121</v>
      </c>
      <c r="AQ7" s="173">
        <f t="shared" si="12"/>
        <v>1527.7675579814622</v>
      </c>
      <c r="AR7" s="75">
        <f t="shared" si="12"/>
        <v>4316.8760868025665</v>
      </c>
      <c r="AS7" s="167">
        <f t="shared" si="12"/>
        <v>519.62756574953823</v>
      </c>
      <c r="AT7" s="74">
        <f t="shared" si="12"/>
        <v>901.90737744594298</v>
      </c>
      <c r="AU7" s="74">
        <f t="shared" si="12"/>
        <v>106.23261478598123</v>
      </c>
      <c r="AV7" s="173">
        <f t="shared" si="12"/>
        <v>1527.7675579814622</v>
      </c>
      <c r="AW7" s="74">
        <f t="shared" si="12"/>
        <v>231.75435627159848</v>
      </c>
      <c r="AX7" s="74">
        <f t="shared" si="13"/>
        <v>11001.068808648841</v>
      </c>
      <c r="AY7" s="98">
        <f t="shared" si="13"/>
        <v>11232.823164920441</v>
      </c>
      <c r="AZ7" s="168">
        <f t="shared" si="13"/>
        <v>7.0000000000014495E-3</v>
      </c>
      <c r="BA7" s="72">
        <f t="shared" si="13"/>
        <v>7.0000000000067786E-3</v>
      </c>
      <c r="BB7" s="72">
        <f t="shared" si="13"/>
        <v>6.999999999999007E-3</v>
      </c>
      <c r="BC7" s="88">
        <f t="shared" si="13"/>
        <v>2.100000000000346E-2</v>
      </c>
      <c r="BD7" s="73">
        <f t="shared" si="13"/>
        <v>6.9999999999954526E-3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88">
        <f t="shared" si="13"/>
        <v>2.0999999999999998E-2</v>
      </c>
      <c r="BI7" s="75">
        <f t="shared" si="13"/>
        <v>-6915.9400781178747</v>
      </c>
      <c r="BJ7" s="168">
        <f t="shared" si="14"/>
        <v>-1.3999999999774075E-2</v>
      </c>
      <c r="BK7" s="72">
        <f t="shared" si="15"/>
        <v>-1.4000000000234152E-2</v>
      </c>
      <c r="BL7" s="72">
        <f t="shared" si="16"/>
        <v>-1.4000000000013217E-2</v>
      </c>
      <c r="BM7" s="88">
        <f t="shared" si="17"/>
        <v>-4.2000000000003458E-2</v>
      </c>
      <c r="BN7" s="73">
        <f t="shared" si="18"/>
        <v>-1.3999999998304702E-2</v>
      </c>
      <c r="BO7" s="167">
        <f t="shared" si="19"/>
        <v>105548.44664281659</v>
      </c>
      <c r="BP7" s="74">
        <f t="shared" si="20"/>
        <v>83667.296331925478</v>
      </c>
      <c r="BQ7" s="74">
        <f t="shared" si="21"/>
        <v>93240.033121746135</v>
      </c>
      <c r="BR7" s="173">
        <f t="shared" si="22"/>
        <v>91775.195774465552</v>
      </c>
      <c r="BS7" s="75">
        <f t="shared" si="23"/>
        <v>7420.3539870722461</v>
      </c>
      <c r="BT7" s="72"/>
      <c r="BU7" s="351">
        <f t="shared" ref="BU7:BU18" si="25">AL7</f>
        <v>2019</v>
      </c>
      <c r="BV7" s="606">
        <f t="shared" ref="BV7:BV18" si="26">G7</f>
        <v>1977.8089696338936</v>
      </c>
      <c r="BW7" s="618">
        <f t="shared" ref="BW7:BW18" si="27">D7</f>
        <v>777.71486816328286</v>
      </c>
      <c r="BX7" s="618">
        <f t="shared" ref="BX7:BX18" si="28">E7</f>
        <v>1098.9965669557278</v>
      </c>
      <c r="BY7" s="619">
        <f t="shared" ref="BY7:BY18" si="29">F7</f>
        <v>101.09753451488311</v>
      </c>
      <c r="BZ7" s="610">
        <f t="shared" ref="BZ7:BZ18" si="30">L7</f>
        <v>1977.8089696338943</v>
      </c>
      <c r="CA7" s="611">
        <f t="shared" ref="CA7:CA18" si="31">AH7</f>
        <v>83738.595456875788</v>
      </c>
      <c r="CB7" s="606">
        <f t="shared" ref="CB7:CB18" si="32">AQ7</f>
        <v>1527.7675579814622</v>
      </c>
      <c r="CC7" s="618">
        <f t="shared" ref="CC7:CC18" si="33">AN7</f>
        <v>519.62756574953846</v>
      </c>
      <c r="CD7" s="618">
        <f t="shared" ref="CD7:CD18" si="34">AO7</f>
        <v>901.90737744594276</v>
      </c>
      <c r="CE7" s="619">
        <f>AP7</f>
        <v>106.23261478598121</v>
      </c>
      <c r="CF7" s="610">
        <f t="shared" ref="CF7:CF18" si="35">AV7</f>
        <v>1527.7675579814622</v>
      </c>
      <c r="CG7" s="611">
        <f t="shared" ref="CG7:CG18" si="36">BR7</f>
        <v>91775.195774465552</v>
      </c>
      <c r="CH7" s="598">
        <f>CG7/CA7*100-100</f>
        <v>9.5972475699434199</v>
      </c>
      <c r="CJ7" s="748">
        <f t="shared" ref="CJ7:CJ18" si="37">BV7*AH7</f>
        <v>165618945.19915295</v>
      </c>
      <c r="CK7" s="749">
        <f t="shared" ref="CK7:CM18" si="38">AE7*BW7</f>
        <v>65229906.644051895</v>
      </c>
      <c r="CL7" s="749">
        <f t="shared" si="38"/>
        <v>91712670.108653724</v>
      </c>
      <c r="CM7" s="749">
        <f t="shared" si="38"/>
        <v>8676368.4464473464</v>
      </c>
      <c r="CN7" s="747"/>
      <c r="CO7" s="749">
        <f t="shared" ref="CO7:CO18" si="39">CB7*CG7</f>
        <v>140211166.73162585</v>
      </c>
      <c r="CP7" s="749">
        <f t="shared" ref="CP7:CP18" si="40">AN7*BO7</f>
        <v>54845882.397651829</v>
      </c>
      <c r="CQ7" s="749">
        <f t="shared" si="24"/>
        <v>75460151.812719449</v>
      </c>
      <c r="CR7" s="749">
        <f t="shared" si="24"/>
        <v>9905132.5212545861</v>
      </c>
      <c r="CS7" s="747"/>
      <c r="CT7" s="750">
        <f>CO7/CJ7-1</f>
        <v>-0.15341106319071662</v>
      </c>
      <c r="CU7" s="750">
        <f t="shared" ref="CU7:CW18" si="41">CP7/CK7-1</f>
        <v>-0.1591911560300685</v>
      </c>
      <c r="CV7" s="750">
        <f t="shared" si="41"/>
        <v>-0.17721126510306162</v>
      </c>
      <c r="CW7" s="750">
        <f t="shared" si="41"/>
        <v>0.14162193346115592</v>
      </c>
      <c r="CX7" s="747"/>
    </row>
    <row r="8" spans="1:102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596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596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596">
        <f t="shared" si="10"/>
        <v>87805.359693171747</v>
      </c>
      <c r="AI8" s="116">
        <f t="shared" si="11"/>
        <v>7618.8852684241492</v>
      </c>
      <c r="AK8" s="348">
        <v>8</v>
      </c>
      <c r="AL8" s="351">
        <v>2020</v>
      </c>
      <c r="AM8" s="352" t="s">
        <v>57</v>
      </c>
      <c r="AN8" s="167">
        <f t="shared" si="12"/>
        <v>597.57316673246464</v>
      </c>
      <c r="AO8" s="74">
        <f t="shared" si="12"/>
        <v>1043.7109461884334</v>
      </c>
      <c r="AP8" s="74">
        <f t="shared" si="12"/>
        <v>107.03280117908848</v>
      </c>
      <c r="AQ8" s="173">
        <f t="shared" si="12"/>
        <v>1748.3169140999867</v>
      </c>
      <c r="AR8" s="75">
        <f t="shared" si="12"/>
        <v>4503.2090818369152</v>
      </c>
      <c r="AS8" s="167">
        <f t="shared" si="12"/>
        <v>597.57316673246453</v>
      </c>
      <c r="AT8" s="74">
        <f t="shared" si="12"/>
        <v>1043.7109461884334</v>
      </c>
      <c r="AU8" s="74">
        <f t="shared" si="12"/>
        <v>107.03280117908854</v>
      </c>
      <c r="AV8" s="173">
        <f t="shared" si="12"/>
        <v>1748.3169140999867</v>
      </c>
      <c r="AW8" s="74">
        <f t="shared" si="12"/>
        <v>259.76120670327686</v>
      </c>
      <c r="AX8" s="74">
        <f t="shared" si="13"/>
        <v>13227.889464401707</v>
      </c>
      <c r="AY8" s="98">
        <f t="shared" si="13"/>
        <v>13487.650671104984</v>
      </c>
      <c r="AZ8" s="168">
        <f t="shared" si="13"/>
        <v>7.0000000000050022E-3</v>
      </c>
      <c r="BA8" s="72">
        <f t="shared" si="13"/>
        <v>6.9999999999872387E-3</v>
      </c>
      <c r="BB8" s="72">
        <f t="shared" si="13"/>
        <v>7.0000000000005613E-3</v>
      </c>
      <c r="BC8" s="88">
        <f t="shared" si="13"/>
        <v>2.0999999999984809E-2</v>
      </c>
      <c r="BD8" s="73">
        <f t="shared" si="13"/>
        <v>6.9999999999954526E-3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88">
        <f t="shared" si="13"/>
        <v>2.0999999999999998E-2</v>
      </c>
      <c r="BI8" s="75">
        <f t="shared" si="13"/>
        <v>-8984.4345892680685</v>
      </c>
      <c r="BJ8" s="168">
        <f t="shared" si="14"/>
        <v>-1.3999999999891315E-2</v>
      </c>
      <c r="BK8" s="72">
        <f t="shared" si="15"/>
        <v>-1.3999999999987238E-2</v>
      </c>
      <c r="BL8" s="72">
        <f t="shared" si="16"/>
        <v>-1.4000000000057404E-2</v>
      </c>
      <c r="BM8" s="88">
        <f t="shared" si="17"/>
        <v>-4.1999999999984806E-2</v>
      </c>
      <c r="BN8" s="73">
        <f t="shared" si="18"/>
        <v>-1.4000000001033186E-2</v>
      </c>
      <c r="BO8" s="167">
        <f t="shared" si="19"/>
        <v>130870.66756083556</v>
      </c>
      <c r="BP8" s="74">
        <f t="shared" si="20"/>
        <v>102221.76478883311</v>
      </c>
      <c r="BQ8" s="74">
        <f t="shared" si="21"/>
        <v>93190.351517059375</v>
      </c>
      <c r="BR8" s="173">
        <f t="shared" si="22"/>
        <v>111461.02682509126</v>
      </c>
      <c r="BS8" s="75">
        <f t="shared" si="23"/>
        <v>7642.2438157455408</v>
      </c>
      <c r="BT8" s="72"/>
      <c r="BU8" s="351">
        <f t="shared" si="25"/>
        <v>2020</v>
      </c>
      <c r="BV8" s="606">
        <f t="shared" si="26"/>
        <v>2054.9007244576978</v>
      </c>
      <c r="BW8" s="618">
        <f t="shared" si="27"/>
        <v>801.81352268981232</v>
      </c>
      <c r="BX8" s="618">
        <f t="shared" si="28"/>
        <v>1146.5703782895469</v>
      </c>
      <c r="BY8" s="619">
        <f t="shared" si="29"/>
        <v>106.51682347833854</v>
      </c>
      <c r="BZ8" s="610">
        <f t="shared" si="30"/>
        <v>2054.9007244576978</v>
      </c>
      <c r="CA8" s="611">
        <f t="shared" si="31"/>
        <v>87805.359693171747</v>
      </c>
      <c r="CB8" s="606">
        <f t="shared" si="32"/>
        <v>1748.3169140999867</v>
      </c>
      <c r="CC8" s="618">
        <f t="shared" si="33"/>
        <v>597.57316673246464</v>
      </c>
      <c r="CD8" s="618">
        <f t="shared" si="34"/>
        <v>1043.7109461884334</v>
      </c>
      <c r="CE8" s="619">
        <f t="shared" ref="CE8:CE18" si="42">AP8</f>
        <v>107.03280117908848</v>
      </c>
      <c r="CF8" s="610">
        <f t="shared" si="35"/>
        <v>1748.3169140999867</v>
      </c>
      <c r="CG8" s="611">
        <f t="shared" si="36"/>
        <v>111461.02682509126</v>
      </c>
      <c r="CH8" s="598">
        <f t="shared" ref="CH8:CH17" si="43">CG8/CA8*100-100</f>
        <v>26.941028673627912</v>
      </c>
      <c r="CJ8" s="748">
        <f t="shared" si="37"/>
        <v>180431297.24476737</v>
      </c>
      <c r="CK8" s="749">
        <f t="shared" si="38"/>
        <v>71140360.996031806</v>
      </c>
      <c r="CL8" s="749">
        <f t="shared" si="38"/>
        <v>99801574.312186062</v>
      </c>
      <c r="CM8" s="749">
        <f t="shared" si="38"/>
        <v>9489361.9365494642</v>
      </c>
      <c r="CN8" s="747"/>
      <c r="CO8" s="749">
        <f t="shared" si="39"/>
        <v>194869198.46125939</v>
      </c>
      <c r="CP8" s="749">
        <f t="shared" si="40"/>
        <v>78204799.246720135</v>
      </c>
      <c r="CQ8" s="749">
        <f t="shared" si="24"/>
        <v>106689974.84880449</v>
      </c>
      <c r="CR8" s="749">
        <f t="shared" si="24"/>
        <v>9974424.3657347821</v>
      </c>
      <c r="CS8" s="747"/>
      <c r="CT8" s="750">
        <f t="shared" ref="CT8:CT18" si="44">CO8/CJ8-1</f>
        <v>8.0018829532140678E-2</v>
      </c>
      <c r="CU8" s="750">
        <f t="shared" si="41"/>
        <v>9.9302817019474743E-2</v>
      </c>
      <c r="CV8" s="750">
        <f t="shared" si="41"/>
        <v>6.9020960682153687E-2</v>
      </c>
      <c r="CW8" s="750">
        <f t="shared" si="41"/>
        <v>5.1116443068425887E-2</v>
      </c>
      <c r="CX8" s="747"/>
    </row>
    <row r="9" spans="1:102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596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596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596">
        <f t="shared" si="10"/>
        <v>91597.777672046024</v>
      </c>
      <c r="AI9" s="116">
        <f t="shared" si="11"/>
        <v>7874.364657370711</v>
      </c>
      <c r="AK9" s="348">
        <v>8</v>
      </c>
      <c r="AL9" s="351">
        <v>2021</v>
      </c>
      <c r="AM9" s="352" t="s">
        <v>57</v>
      </c>
      <c r="AN9" s="167">
        <f t="shared" si="12"/>
        <v>615.80720452500714</v>
      </c>
      <c r="AO9" s="74">
        <f t="shared" si="12"/>
        <v>1094.5736513351221</v>
      </c>
      <c r="AP9" s="74">
        <f t="shared" si="12"/>
        <v>113.66355054731918</v>
      </c>
      <c r="AQ9" s="173">
        <f t="shared" si="12"/>
        <v>1824.0444064074486</v>
      </c>
      <c r="AR9" s="75">
        <f t="shared" si="12"/>
        <v>4685.3900596601534</v>
      </c>
      <c r="AS9" s="167">
        <f t="shared" si="12"/>
        <v>615.80720452500702</v>
      </c>
      <c r="AT9" s="74">
        <f t="shared" si="12"/>
        <v>1094.5736513351226</v>
      </c>
      <c r="AU9" s="74">
        <f t="shared" si="12"/>
        <v>113.66355054731918</v>
      </c>
      <c r="AV9" s="173">
        <f t="shared" si="12"/>
        <v>1824.0444064074486</v>
      </c>
      <c r="AW9" s="74">
        <f t="shared" si="12"/>
        <v>268.91570000166752</v>
      </c>
      <c r="AX9" s="74">
        <f t="shared" si="13"/>
        <v>13937.268248270604</v>
      </c>
      <c r="AY9" s="98">
        <f t="shared" si="13"/>
        <v>14206.183948272272</v>
      </c>
      <c r="AZ9" s="168">
        <f t="shared" si="13"/>
        <v>7.0000000000218776E-3</v>
      </c>
      <c r="BA9" s="72">
        <f t="shared" si="13"/>
        <v>7.0000000000183249E-3</v>
      </c>
      <c r="BB9" s="72">
        <f t="shared" si="13"/>
        <v>6.9999999999994511E-3</v>
      </c>
      <c r="BC9" s="88">
        <f t="shared" si="13"/>
        <v>2.1000000000048757E-2</v>
      </c>
      <c r="BD9" s="73">
        <f t="shared" si="13"/>
        <v>7.000000000002558E-3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88">
        <f t="shared" si="13"/>
        <v>2.0999999999999998E-2</v>
      </c>
      <c r="BI9" s="75">
        <f t="shared" si="13"/>
        <v>-9520.7868886121178</v>
      </c>
      <c r="BJ9" s="168">
        <f t="shared" si="14"/>
        <v>-1.399999999990819E-2</v>
      </c>
      <c r="BK9" s="72">
        <f t="shared" si="15"/>
        <v>-1.4000000000473072E-2</v>
      </c>
      <c r="BL9" s="72">
        <f t="shared" si="16"/>
        <v>-1.399999999999945E-2</v>
      </c>
      <c r="BM9" s="88">
        <f t="shared" si="17"/>
        <v>-4.2000000000048755E-2</v>
      </c>
      <c r="BN9" s="73">
        <f t="shared" si="18"/>
        <v>-1.4000000001033186E-2</v>
      </c>
      <c r="BO9" s="167">
        <f t="shared" si="19"/>
        <v>138307.77056000193</v>
      </c>
      <c r="BP9" s="74">
        <f t="shared" si="20"/>
        <v>105829.02638285772</v>
      </c>
      <c r="BQ9" s="74">
        <f t="shared" si="21"/>
        <v>95833.975984896373</v>
      </c>
      <c r="BR9" s="173">
        <f t="shared" si="22"/>
        <v>116171.1933146558</v>
      </c>
      <c r="BS9" s="75">
        <f t="shared" si="23"/>
        <v>7898.7829608529219</v>
      </c>
      <c r="BT9" s="72"/>
      <c r="BU9" s="351">
        <f t="shared" si="25"/>
        <v>2021</v>
      </c>
      <c r="BV9" s="606">
        <f t="shared" si="26"/>
        <v>2142.0950724394679</v>
      </c>
      <c r="BW9" s="618">
        <f t="shared" si="27"/>
        <v>826.52329291544686</v>
      </c>
      <c r="BX9" s="618">
        <f t="shared" si="28"/>
        <v>1202.4645406737181</v>
      </c>
      <c r="BY9" s="619">
        <f t="shared" si="29"/>
        <v>113.10723885030285</v>
      </c>
      <c r="BZ9" s="610">
        <f t="shared" si="30"/>
        <v>2142.0950724394679</v>
      </c>
      <c r="CA9" s="611">
        <f t="shared" si="31"/>
        <v>91597.777672046024</v>
      </c>
      <c r="CB9" s="606">
        <f t="shared" si="32"/>
        <v>1824.0444064074486</v>
      </c>
      <c r="CC9" s="618">
        <f t="shared" si="33"/>
        <v>615.80720452500714</v>
      </c>
      <c r="CD9" s="618">
        <f t="shared" si="34"/>
        <v>1094.5736513351221</v>
      </c>
      <c r="CE9" s="619">
        <f t="shared" si="42"/>
        <v>113.66355054731918</v>
      </c>
      <c r="CF9" s="610">
        <f t="shared" si="35"/>
        <v>1824.0444064074486</v>
      </c>
      <c r="CG9" s="611">
        <f t="shared" si="36"/>
        <v>116171.1933146558</v>
      </c>
      <c r="CH9" s="598">
        <f t="shared" si="43"/>
        <v>26.82752384079852</v>
      </c>
      <c r="CJ9" s="748">
        <f t="shared" si="37"/>
        <v>196211148.1976957</v>
      </c>
      <c r="CK9" s="749">
        <f t="shared" si="38"/>
        <v>77482533.017659381</v>
      </c>
      <c r="CL9" s="749">
        <f t="shared" si="38"/>
        <v>108365289.83895922</v>
      </c>
      <c r="CM9" s="749">
        <f t="shared" si="38"/>
        <v>10363325.341077115</v>
      </c>
      <c r="CN9" s="747"/>
      <c r="CO9" s="749">
        <f t="shared" si="39"/>
        <v>211901415.35127631</v>
      </c>
      <c r="CP9" s="749">
        <f t="shared" si="40"/>
        <v>85170921.55264087</v>
      </c>
      <c r="CQ9" s="749">
        <f t="shared" si="24"/>
        <v>115837663.82512555</v>
      </c>
      <c r="CR9" s="749">
        <f t="shared" si="24"/>
        <v>10892829.973509841</v>
      </c>
      <c r="CS9" s="747"/>
      <c r="CT9" s="750">
        <f t="shared" si="44"/>
        <v>7.9966236871370944E-2</v>
      </c>
      <c r="CU9" s="750">
        <f t="shared" si="41"/>
        <v>9.9227377262294691E-2</v>
      </c>
      <c r="CV9" s="750">
        <f t="shared" si="41"/>
        <v>6.8955419187001432E-2</v>
      </c>
      <c r="CW9" s="750">
        <f t="shared" si="41"/>
        <v>5.1094085634263431E-2</v>
      </c>
      <c r="CX9" s="747"/>
    </row>
    <row r="10" spans="1:102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596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596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596">
        <f t="shared" si="10"/>
        <v>95042.296546344034</v>
      </c>
      <c r="AI10" s="116">
        <f t="shared" si="11"/>
        <v>8137.4666284626792</v>
      </c>
      <c r="AK10" s="348">
        <v>8</v>
      </c>
      <c r="AL10" s="351">
        <v>2022</v>
      </c>
      <c r="AM10" s="352" t="s">
        <v>57</v>
      </c>
      <c r="AN10" s="167">
        <f t="shared" si="12"/>
        <v>634.55465047247878</v>
      </c>
      <c r="AO10" s="74">
        <f t="shared" si="12"/>
        <v>1154.0374508997318</v>
      </c>
      <c r="AP10" s="74">
        <f t="shared" si="12"/>
        <v>121.66103980911268</v>
      </c>
      <c r="AQ10" s="173">
        <f t="shared" si="12"/>
        <v>1910.2531411813231</v>
      </c>
      <c r="AR10" s="75">
        <f t="shared" si="12"/>
        <v>4891.8019359395703</v>
      </c>
      <c r="AS10" s="167">
        <f t="shared" si="12"/>
        <v>634.5546504724789</v>
      </c>
      <c r="AT10" s="74">
        <f t="shared" si="12"/>
        <v>1154.037450899732</v>
      </c>
      <c r="AU10" s="74">
        <f t="shared" si="12"/>
        <v>121.66103980911264</v>
      </c>
      <c r="AV10" s="173">
        <f t="shared" si="12"/>
        <v>1910.2531411813238</v>
      </c>
      <c r="AW10" s="74">
        <f t="shared" si="12"/>
        <v>277.84916322054409</v>
      </c>
      <c r="AX10" s="74">
        <f t="shared" si="13"/>
        <v>14707.142739460802</v>
      </c>
      <c r="AY10" s="98">
        <f t="shared" si="13"/>
        <v>14984.991902681346</v>
      </c>
      <c r="AZ10" s="168">
        <f t="shared" si="13"/>
        <v>7.0000000000121076E-3</v>
      </c>
      <c r="BA10" s="72">
        <f t="shared" si="13"/>
        <v>7.0000000000192131E-3</v>
      </c>
      <c r="BB10" s="72">
        <f t="shared" si="13"/>
        <v>7.0000000000001172E-3</v>
      </c>
      <c r="BC10" s="88">
        <f t="shared" si="13"/>
        <v>2.1000000000059416E-2</v>
      </c>
      <c r="BD10" s="73">
        <f t="shared" si="13"/>
        <v>7.000000000002558E-3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88">
        <f t="shared" si="13"/>
        <v>2.0999999999999998E-2</v>
      </c>
      <c r="BI10" s="75">
        <f t="shared" si="13"/>
        <v>-10093.182966741775</v>
      </c>
      <c r="BJ10" s="168">
        <f t="shared" si="14"/>
        <v>-1.4000000000125794E-2</v>
      </c>
      <c r="BK10" s="72">
        <f t="shared" si="15"/>
        <v>-1.4000000000246586E-2</v>
      </c>
      <c r="BL10" s="72">
        <f t="shared" si="16"/>
        <v>-1.3999999999957484E-2</v>
      </c>
      <c r="BM10" s="88">
        <f t="shared" si="17"/>
        <v>-4.2000000000741534E-2</v>
      </c>
      <c r="BN10" s="73">
        <f t="shared" si="18"/>
        <v>-1.3999999999214197E-2</v>
      </c>
      <c r="BO10" s="167">
        <f t="shared" si="19"/>
        <v>145971.71236524178</v>
      </c>
      <c r="BP10" s="74">
        <f t="shared" si="20"/>
        <v>108744.70985998143</v>
      </c>
      <c r="BQ10" s="74">
        <f t="shared" si="21"/>
        <v>97633.786336384335</v>
      </c>
      <c r="BR10" s="173">
        <f t="shared" si="22"/>
        <v>120403.26996053997</v>
      </c>
      <c r="BS10" s="75">
        <f t="shared" si="23"/>
        <v>8161.7388289450864</v>
      </c>
      <c r="BT10" s="72"/>
      <c r="BU10" s="351">
        <f t="shared" si="25"/>
        <v>2022</v>
      </c>
      <c r="BV10" s="606">
        <f t="shared" si="26"/>
        <v>2240.80371174429</v>
      </c>
      <c r="BW10" s="618">
        <f t="shared" si="27"/>
        <v>851.9243209025517</v>
      </c>
      <c r="BX10" s="618">
        <f t="shared" si="28"/>
        <v>1267.8163097109855</v>
      </c>
      <c r="BY10" s="619">
        <f t="shared" si="29"/>
        <v>121.06308113075283</v>
      </c>
      <c r="BZ10" s="610">
        <f t="shared" si="30"/>
        <v>2240.8037117442896</v>
      </c>
      <c r="CA10" s="611">
        <f t="shared" si="31"/>
        <v>95042.296546344034</v>
      </c>
      <c r="CB10" s="606">
        <f t="shared" si="32"/>
        <v>1910.2531411813231</v>
      </c>
      <c r="CC10" s="618">
        <f t="shared" si="33"/>
        <v>634.55465047247878</v>
      </c>
      <c r="CD10" s="618">
        <f t="shared" si="34"/>
        <v>1154.0374508997318</v>
      </c>
      <c r="CE10" s="619">
        <f t="shared" si="42"/>
        <v>121.66103980911268</v>
      </c>
      <c r="CF10" s="610">
        <f t="shared" si="35"/>
        <v>1910.2531411813238</v>
      </c>
      <c r="CG10" s="611">
        <f t="shared" si="36"/>
        <v>120403.26996053997</v>
      </c>
      <c r="CH10" s="598">
        <f t="shared" si="43"/>
        <v>26.683881109532678</v>
      </c>
      <c r="CJ10" s="748">
        <f t="shared" si="37"/>
        <v>212971130.87374923</v>
      </c>
      <c r="CK10" s="749">
        <f t="shared" si="38"/>
        <v>84273850.552052528</v>
      </c>
      <c r="CL10" s="749">
        <f t="shared" si="38"/>
        <v>117396802.34851079</v>
      </c>
      <c r="CM10" s="749">
        <f t="shared" si="38"/>
        <v>11300477.973185927</v>
      </c>
      <c r="CN10" s="747"/>
      <c r="CO10" s="749">
        <f t="shared" si="39"/>
        <v>230000724.65062433</v>
      </c>
      <c r="CP10" s="749">
        <f t="shared" si="40"/>
        <v>92627028.918795213</v>
      </c>
      <c r="CQ10" s="749">
        <f t="shared" si="24"/>
        <v>125495467.76564389</v>
      </c>
      <c r="CR10" s="749">
        <f t="shared" si="24"/>
        <v>11878227.966185257</v>
      </c>
      <c r="CS10" s="747"/>
      <c r="CT10" s="750">
        <f t="shared" si="44"/>
        <v>7.9961982203918369E-2</v>
      </c>
      <c r="CU10" s="750">
        <f t="shared" si="41"/>
        <v>9.9119457720556747E-2</v>
      </c>
      <c r="CV10" s="750">
        <f t="shared" si="41"/>
        <v>6.8985400412278297E-2</v>
      </c>
      <c r="CW10" s="750">
        <f t="shared" si="41"/>
        <v>5.1126155404243034E-2</v>
      </c>
      <c r="CX10" s="747"/>
    </row>
    <row r="11" spans="1:102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596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596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596">
        <f t="shared" si="10"/>
        <v>98071.784680919096</v>
      </c>
      <c r="AI11" s="116">
        <f t="shared" si="11"/>
        <v>8395.3295320456018</v>
      </c>
      <c r="AK11" s="348">
        <v>8</v>
      </c>
      <c r="AL11" s="351">
        <v>2023</v>
      </c>
      <c r="AM11" s="352" t="s">
        <v>57</v>
      </c>
      <c r="AN11" s="167">
        <f t="shared" si="12"/>
        <v>653.84648730446588</v>
      </c>
      <c r="AO11" s="74">
        <f t="shared" si="12"/>
        <v>1223.3042529076447</v>
      </c>
      <c r="AP11" s="74">
        <f t="shared" si="12"/>
        <v>131.2661947638793</v>
      </c>
      <c r="AQ11" s="173">
        <f t="shared" si="12"/>
        <v>2008.4169349759898</v>
      </c>
      <c r="AR11" s="75">
        <f t="shared" si="12"/>
        <v>5122.6583367306812</v>
      </c>
      <c r="AS11" s="167">
        <f t="shared" si="12"/>
        <v>653.84648730446588</v>
      </c>
      <c r="AT11" s="74">
        <f t="shared" si="12"/>
        <v>1223.3042529076442</v>
      </c>
      <c r="AU11" s="74">
        <f t="shared" si="12"/>
        <v>131.26619476387933</v>
      </c>
      <c r="AV11" s="173">
        <f t="shared" si="12"/>
        <v>2008.4169349759895</v>
      </c>
      <c r="AW11" s="74">
        <f t="shared" si="12"/>
        <v>286.58464887845588</v>
      </c>
      <c r="AX11" s="74">
        <f t="shared" si="13"/>
        <v>15547.609057216567</v>
      </c>
      <c r="AY11" s="98">
        <f t="shared" si="13"/>
        <v>15834.193706095024</v>
      </c>
      <c r="AZ11" s="168">
        <f t="shared" si="13"/>
        <v>7.0000000000032259E-3</v>
      </c>
      <c r="BA11" s="72">
        <f t="shared" si="13"/>
        <v>6.9999999999978968E-3</v>
      </c>
      <c r="BB11" s="72">
        <f t="shared" si="13"/>
        <v>6.9999999999985629E-3</v>
      </c>
      <c r="BC11" s="88">
        <f t="shared" si="13"/>
        <v>2.0999999999995467E-2</v>
      </c>
      <c r="BD11" s="73">
        <f t="shared" si="13"/>
        <v>7.000000000002558E-3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88">
        <f t="shared" si="13"/>
        <v>2.0999999999999998E-2</v>
      </c>
      <c r="BI11" s="75">
        <f t="shared" si="13"/>
        <v>-10711.528369364341</v>
      </c>
      <c r="BJ11" s="168">
        <f t="shared" si="14"/>
        <v>-1.4000000000003225E-2</v>
      </c>
      <c r="BK11" s="72">
        <f t="shared" si="15"/>
        <v>-1.3999999999543149E-2</v>
      </c>
      <c r="BL11" s="72">
        <f t="shared" si="16"/>
        <v>-1.4000000000026984E-2</v>
      </c>
      <c r="BM11" s="88">
        <f t="shared" si="17"/>
        <v>-4.1999999999768091E-2</v>
      </c>
      <c r="BN11" s="73">
        <f t="shared" si="18"/>
        <v>-1.3999999999214197E-2</v>
      </c>
      <c r="BO11" s="167">
        <f t="shared" si="19"/>
        <v>153847.67188109879</v>
      </c>
      <c r="BP11" s="74">
        <f t="shared" si="20"/>
        <v>110887.18107995545</v>
      </c>
      <c r="BQ11" s="74">
        <f t="shared" si="21"/>
        <v>98524.916944257042</v>
      </c>
      <c r="BR11" s="173">
        <f t="shared" si="22"/>
        <v>124065.13142011265</v>
      </c>
      <c r="BS11" s="75">
        <f t="shared" si="23"/>
        <v>8419.3291964554282</v>
      </c>
      <c r="BT11" s="72"/>
      <c r="BU11" s="351">
        <f t="shared" si="25"/>
        <v>2023</v>
      </c>
      <c r="BV11" s="606">
        <f t="shared" si="26"/>
        <v>2352.5933463255769</v>
      </c>
      <c r="BW11" s="618">
        <f t="shared" si="27"/>
        <v>878.0632207653714</v>
      </c>
      <c r="BX11" s="618">
        <f t="shared" si="28"/>
        <v>1343.911850574166</v>
      </c>
      <c r="BY11" s="619">
        <f t="shared" si="29"/>
        <v>130.61827498603967</v>
      </c>
      <c r="BZ11" s="610">
        <f t="shared" si="30"/>
        <v>2352.5933463255774</v>
      </c>
      <c r="CA11" s="611">
        <f t="shared" si="31"/>
        <v>98071.784680919096</v>
      </c>
      <c r="CB11" s="606">
        <f t="shared" si="32"/>
        <v>2008.4169349759898</v>
      </c>
      <c r="CC11" s="618">
        <f t="shared" si="33"/>
        <v>653.84648730446588</v>
      </c>
      <c r="CD11" s="618">
        <f t="shared" si="34"/>
        <v>1223.3042529076447</v>
      </c>
      <c r="CE11" s="619">
        <f t="shared" si="42"/>
        <v>131.2661947638793</v>
      </c>
      <c r="CF11" s="610">
        <f t="shared" si="35"/>
        <v>2008.4169349759895</v>
      </c>
      <c r="CG11" s="611">
        <f t="shared" si="36"/>
        <v>124065.13142011265</v>
      </c>
      <c r="CH11" s="598">
        <f t="shared" si="43"/>
        <v>26.504408810101765</v>
      </c>
      <c r="CJ11" s="748">
        <f t="shared" si="37"/>
        <v>230723028.1026049</v>
      </c>
      <c r="CK11" s="749">
        <f t="shared" si="38"/>
        <v>91532884.363758639</v>
      </c>
      <c r="CL11" s="749">
        <f t="shared" si="38"/>
        <v>126886996.07310615</v>
      </c>
      <c r="CM11" s="749">
        <f t="shared" si="38"/>
        <v>12303147.665740142</v>
      </c>
      <c r="CN11" s="747"/>
      <c r="CO11" s="749">
        <f t="shared" si="39"/>
        <v>249174510.98417601</v>
      </c>
      <c r="CP11" s="749">
        <f t="shared" si="40"/>
        <v>100592759.8394265</v>
      </c>
      <c r="CQ11" s="749">
        <f t="shared" si="24"/>
        <v>135648760.20804963</v>
      </c>
      <c r="CR11" s="749">
        <f t="shared" si="24"/>
        <v>12932990.936699877</v>
      </c>
      <c r="CS11" s="747"/>
      <c r="CT11" s="750">
        <f t="shared" si="44"/>
        <v>7.9972437226186077E-2</v>
      </c>
      <c r="CU11" s="750">
        <f t="shared" si="41"/>
        <v>9.8979460099424266E-2</v>
      </c>
      <c r="CV11" s="750">
        <f t="shared" si="41"/>
        <v>6.9051710625219309E-2</v>
      </c>
      <c r="CW11" s="750">
        <f t="shared" si="41"/>
        <v>5.1193669138315023E-2</v>
      </c>
      <c r="CX11" s="747"/>
    </row>
    <row r="12" spans="1:102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596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596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596">
        <f t="shared" si="10"/>
        <v>100631.90807209849</v>
      </c>
      <c r="AI12" s="116">
        <f t="shared" si="11"/>
        <v>8662.9839790514452</v>
      </c>
      <c r="AK12" s="348">
        <v>8</v>
      </c>
      <c r="AL12" s="351">
        <v>2024</v>
      </c>
      <c r="AM12" s="352" t="s">
        <v>57</v>
      </c>
      <c r="AN12" s="167">
        <f t="shared" si="12"/>
        <v>673.64820406833246</v>
      </c>
      <c r="AO12" s="74">
        <f t="shared" si="12"/>
        <v>1303.6410914249288</v>
      </c>
      <c r="AP12" s="74">
        <f t="shared" si="12"/>
        <v>142.76018718829039</v>
      </c>
      <c r="AQ12" s="173">
        <f t="shared" si="12"/>
        <v>2120.049482681552</v>
      </c>
      <c r="AR12" s="75">
        <f t="shared" si="12"/>
        <v>5386.6446305001964</v>
      </c>
      <c r="AS12" s="167">
        <f t="shared" si="12"/>
        <v>673.64820406833235</v>
      </c>
      <c r="AT12" s="74">
        <f t="shared" si="12"/>
        <v>1303.6410914249291</v>
      </c>
      <c r="AU12" s="74">
        <f t="shared" si="12"/>
        <v>142.76018718829039</v>
      </c>
      <c r="AV12" s="173">
        <f t="shared" si="12"/>
        <v>2120.0494826815516</v>
      </c>
      <c r="AW12" s="74">
        <f t="shared" si="12"/>
        <v>294.37421656424709</v>
      </c>
      <c r="AX12" s="74">
        <f t="shared" si="13"/>
        <v>16456.485358714872</v>
      </c>
      <c r="AY12" s="98">
        <f t="shared" si="13"/>
        <v>16750.859575279123</v>
      </c>
      <c r="AZ12" s="168">
        <f t="shared" si="13"/>
        <v>7.0000000000174367E-3</v>
      </c>
      <c r="BA12" s="72">
        <f t="shared" si="13"/>
        <v>7.0000000000209894E-3</v>
      </c>
      <c r="BB12" s="72">
        <f t="shared" si="13"/>
        <v>6.9999999999996732E-3</v>
      </c>
      <c r="BC12" s="88">
        <f t="shared" si="13"/>
        <v>2.1000000000029218E-2</v>
      </c>
      <c r="BD12" s="73">
        <f t="shared" si="13"/>
        <v>7.000000000002558E-3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88">
        <f t="shared" si="13"/>
        <v>2.0999999999999998E-2</v>
      </c>
      <c r="BI12" s="75">
        <f t="shared" si="13"/>
        <v>-11364.207944778924</v>
      </c>
      <c r="BJ12" s="168">
        <f t="shared" si="14"/>
        <v>-1.3999999999903749E-2</v>
      </c>
      <c r="BK12" s="72">
        <f t="shared" si="15"/>
        <v>-1.4000000000248362E-2</v>
      </c>
      <c r="BL12" s="72">
        <f t="shared" si="16"/>
        <v>-1.3999999999999672E-2</v>
      </c>
      <c r="BM12" s="88">
        <f t="shared" si="17"/>
        <v>-4.1999999999574468E-2</v>
      </c>
      <c r="BN12" s="73">
        <f t="shared" si="18"/>
        <v>-1.3999999999214197E-2</v>
      </c>
      <c r="BO12" s="167">
        <f t="shared" si="19"/>
        <v>161925.2906077556</v>
      </c>
      <c r="BP12" s="74">
        <f t="shared" si="20"/>
        <v>112207.0734502205</v>
      </c>
      <c r="BQ12" s="74">
        <f t="shared" si="21"/>
        <v>98478.149443916758</v>
      </c>
      <c r="BR12" s="173">
        <f t="shared" si="22"/>
        <v>127080.61493791023</v>
      </c>
      <c r="BS12" s="75">
        <f t="shared" si="23"/>
        <v>8686.6062272615345</v>
      </c>
      <c r="BT12" s="72"/>
      <c r="BU12" s="351">
        <f t="shared" si="25"/>
        <v>2024</v>
      </c>
      <c r="BV12" s="606">
        <f t="shared" si="26"/>
        <v>2479.1666333627413</v>
      </c>
      <c r="BW12" s="618">
        <f t="shared" si="27"/>
        <v>904.9309865601075</v>
      </c>
      <c r="BX12" s="618">
        <f t="shared" si="28"/>
        <v>1432.1832782050606</v>
      </c>
      <c r="BY12" s="619">
        <f t="shared" si="29"/>
        <v>142.05236859757343</v>
      </c>
      <c r="BZ12" s="610">
        <f t="shared" si="30"/>
        <v>2479.1666333627418</v>
      </c>
      <c r="CA12" s="611">
        <f t="shared" si="31"/>
        <v>100631.90807209849</v>
      </c>
      <c r="CB12" s="606">
        <f t="shared" si="32"/>
        <v>2120.049482681552</v>
      </c>
      <c r="CC12" s="618">
        <f t="shared" si="33"/>
        <v>673.64820406833246</v>
      </c>
      <c r="CD12" s="618">
        <f t="shared" si="34"/>
        <v>1303.6410914249288</v>
      </c>
      <c r="CE12" s="619">
        <f t="shared" si="42"/>
        <v>142.76018718829039</v>
      </c>
      <c r="CF12" s="610">
        <f t="shared" si="35"/>
        <v>2120.0494826815516</v>
      </c>
      <c r="CG12" s="611">
        <f t="shared" si="36"/>
        <v>127080.61493791023</v>
      </c>
      <c r="CH12" s="598">
        <f t="shared" si="43"/>
        <v>26.282624837901665</v>
      </c>
      <c r="CJ12" s="748">
        <f t="shared" si="37"/>
        <v>249483268.74397328</v>
      </c>
      <c r="CK12" s="749">
        <f t="shared" si="38"/>
        <v>99280416.632426381</v>
      </c>
      <c r="CL12" s="749">
        <f t="shared" si="38"/>
        <v>136828612.79708761</v>
      </c>
      <c r="CM12" s="749">
        <f t="shared" si="38"/>
        <v>13374239.314459393</v>
      </c>
      <c r="CN12" s="747"/>
      <c r="CO12" s="749">
        <f t="shared" si="39"/>
        <v>269417191.95797008</v>
      </c>
      <c r="CP12" s="749">
        <f t="shared" si="40"/>
        <v>109080681.21115738</v>
      </c>
      <c r="CQ12" s="749">
        <f t="shared" si="24"/>
        <v>146277751.6982426</v>
      </c>
      <c r="CR12" s="749">
        <f t="shared" si="24"/>
        <v>14058759.048569992</v>
      </c>
      <c r="CS12" s="747"/>
      <c r="CT12" s="750">
        <f t="shared" si="44"/>
        <v>7.990084190556912E-2</v>
      </c>
      <c r="CU12" s="750">
        <f t="shared" si="41"/>
        <v>9.871296788585493E-2</v>
      </c>
      <c r="CV12" s="750">
        <f t="shared" si="41"/>
        <v>6.9058208718141056E-2</v>
      </c>
      <c r="CW12" s="750">
        <f t="shared" si="41"/>
        <v>5.1181956447462262E-2</v>
      </c>
      <c r="CX12" s="747"/>
    </row>
    <row r="13" spans="1:102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596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596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596">
        <f t="shared" si="10"/>
        <v>102667.605747957</v>
      </c>
      <c r="AI13" s="116">
        <f t="shared" si="11"/>
        <v>8940.8079897800762</v>
      </c>
      <c r="AK13" s="348">
        <v>8</v>
      </c>
      <c r="AL13" s="351">
        <v>2025</v>
      </c>
      <c r="AM13" s="352" t="s">
        <v>57</v>
      </c>
      <c r="AN13" s="167">
        <f t="shared" si="12"/>
        <v>693.98581658391402</v>
      </c>
      <c r="AO13" s="74">
        <f t="shared" si="12"/>
        <v>1396.6748750737509</v>
      </c>
      <c r="AP13" s="74">
        <f t="shared" si="12"/>
        <v>156.5018668545307</v>
      </c>
      <c r="AQ13" s="173">
        <f t="shared" si="12"/>
        <v>2247.1625585121956</v>
      </c>
      <c r="AR13" s="75">
        <f t="shared" si="12"/>
        <v>5687.7562034390457</v>
      </c>
      <c r="AS13" s="167">
        <f t="shared" si="12"/>
        <v>693.9858165839139</v>
      </c>
      <c r="AT13" s="74">
        <f t="shared" si="12"/>
        <v>1396.6748750737511</v>
      </c>
      <c r="AU13" s="74">
        <f t="shared" si="12"/>
        <v>156.50186685453079</v>
      </c>
      <c r="AV13" s="173">
        <f t="shared" si="12"/>
        <v>2247.1625585121965</v>
      </c>
      <c r="AW13" s="74">
        <f t="shared" si="12"/>
        <v>301.20465070685219</v>
      </c>
      <c r="AX13" s="74">
        <f t="shared" si="13"/>
        <v>17445.4019378019</v>
      </c>
      <c r="AY13" s="98">
        <f t="shared" si="13"/>
        <v>17746.606588508752</v>
      </c>
      <c r="AZ13" s="168">
        <f t="shared" si="13"/>
        <v>7.0000000000085549E-3</v>
      </c>
      <c r="BA13" s="72">
        <f t="shared" si="13"/>
        <v>7.0000000000067786E-3</v>
      </c>
      <c r="BB13" s="72">
        <f t="shared" si="13"/>
        <v>7.0000000000003393E-3</v>
      </c>
      <c r="BC13" s="88">
        <f t="shared" si="13"/>
        <v>2.1000000000036323E-2</v>
      </c>
      <c r="BD13" s="73">
        <f t="shared" si="13"/>
        <v>6.9999999999954526E-3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7.0000000000000001E-3</v>
      </c>
      <c r="BH13" s="88">
        <f t="shared" si="13"/>
        <v>2.0999999999999998E-2</v>
      </c>
      <c r="BI13" s="75">
        <f t="shared" si="13"/>
        <v>-12058.843385069709</v>
      </c>
      <c r="BJ13" s="168">
        <f t="shared" si="14"/>
        <v>-1.3999999999894867E-2</v>
      </c>
      <c r="BK13" s="72">
        <f t="shared" si="15"/>
        <v>-1.4000000000234152E-2</v>
      </c>
      <c r="BL13" s="72">
        <f t="shared" si="16"/>
        <v>-1.4000000000085604E-2</v>
      </c>
      <c r="BM13" s="88">
        <f t="shared" si="17"/>
        <v>-4.2000000000945815E-2</v>
      </c>
      <c r="BN13" s="73">
        <f t="shared" si="18"/>
        <v>-1.3999999997395207E-2</v>
      </c>
      <c r="BO13" s="167">
        <f t="shared" si="19"/>
        <v>170197.62959913901</v>
      </c>
      <c r="BP13" s="74">
        <f t="shared" si="20"/>
        <v>112684.13780618466</v>
      </c>
      <c r="BQ13" s="74">
        <f t="shared" si="21"/>
        <v>97511.230980718625</v>
      </c>
      <c r="BR13" s="173">
        <f t="shared" si="22"/>
        <v>129389.18621513649</v>
      </c>
      <c r="BS13" s="75">
        <f t="shared" si="23"/>
        <v>8963.9224519055497</v>
      </c>
      <c r="BT13" s="72"/>
      <c r="BU13" s="351">
        <f t="shared" si="25"/>
        <v>2025</v>
      </c>
      <c r="BV13" s="606">
        <f t="shared" si="26"/>
        <v>2622.6794859245224</v>
      </c>
      <c r="BW13" s="618">
        <f t="shared" si="27"/>
        <v>932.54743291140869</v>
      </c>
      <c r="BX13" s="618">
        <f t="shared" si="28"/>
        <v>1534.4107120577901</v>
      </c>
      <c r="BY13" s="619">
        <f t="shared" si="29"/>
        <v>155.72134095532334</v>
      </c>
      <c r="BZ13" s="610">
        <f t="shared" si="30"/>
        <v>2622.6794859245224</v>
      </c>
      <c r="CA13" s="611">
        <f t="shared" si="31"/>
        <v>102667.605747957</v>
      </c>
      <c r="CB13" s="606">
        <f t="shared" si="32"/>
        <v>2247.1625585121956</v>
      </c>
      <c r="CC13" s="618">
        <f t="shared" si="33"/>
        <v>693.98581658391402</v>
      </c>
      <c r="CD13" s="618">
        <f t="shared" si="34"/>
        <v>1396.6748750737509</v>
      </c>
      <c r="CE13" s="619">
        <f t="shared" si="42"/>
        <v>156.5018668545307</v>
      </c>
      <c r="CF13" s="610">
        <f t="shared" si="35"/>
        <v>2247.1625585121965</v>
      </c>
      <c r="CG13" s="611">
        <f t="shared" si="36"/>
        <v>129389.18621513649</v>
      </c>
      <c r="CH13" s="598">
        <f t="shared" si="43"/>
        <v>26.027275373285136</v>
      </c>
      <c r="CJ13" s="748">
        <f t="shared" si="37"/>
        <v>269264223.46415341</v>
      </c>
      <c r="CK13" s="749">
        <f t="shared" si="38"/>
        <v>107535237.07828557</v>
      </c>
      <c r="CL13" s="749">
        <f t="shared" si="38"/>
        <v>147212215.26222196</v>
      </c>
      <c r="CM13" s="749">
        <f t="shared" si="38"/>
        <v>14516771.12364587</v>
      </c>
      <c r="CN13" s="747"/>
      <c r="CO13" s="749">
        <f t="shared" si="39"/>
        <v>290758534.73901701</v>
      </c>
      <c r="CP13" s="749">
        <f t="shared" si="40"/>
        <v>118114740.95800501</v>
      </c>
      <c r="CQ13" s="749">
        <f t="shared" si="24"/>
        <v>157383104.09324628</v>
      </c>
      <c r="CR13" s="749">
        <f t="shared" si="24"/>
        <v>15260689.687765816</v>
      </c>
      <c r="CS13" s="747"/>
      <c r="CT13" s="750">
        <f t="shared" si="44"/>
        <v>7.9826094229429323E-2</v>
      </c>
      <c r="CU13" s="750">
        <f t="shared" si="41"/>
        <v>9.8381741345095808E-2</v>
      </c>
      <c r="CV13" s="750">
        <f t="shared" si="41"/>
        <v>6.9089978796307072E-2</v>
      </c>
      <c r="CW13" s="750">
        <f t="shared" si="41"/>
        <v>5.1245456567693859E-2</v>
      </c>
      <c r="CX13" s="747"/>
    </row>
    <row r="14" spans="1:102">
      <c r="A14" s="111">
        <v>8</v>
      </c>
      <c r="B14" s="112">
        <v>2026</v>
      </c>
      <c r="C14" s="113" t="s">
        <v>57</v>
      </c>
      <c r="D14" s="114">
        <f t="shared" si="0"/>
        <v>960.95137633957313</v>
      </c>
      <c r="E14" s="115">
        <f t="shared" si="0"/>
        <v>1652.7739646633675</v>
      </c>
      <c r="F14" s="115">
        <f t="shared" si="0"/>
        <v>172.07509683517597</v>
      </c>
      <c r="G14" s="596">
        <f t="shared" si="0"/>
        <v>2785.8004378381165</v>
      </c>
      <c r="H14" s="116">
        <f t="shared" si="0"/>
        <v>5905.209055932829</v>
      </c>
      <c r="I14" s="114">
        <f t="shared" si="0"/>
        <v>960.95137633957302</v>
      </c>
      <c r="J14" s="115">
        <f t="shared" si="0"/>
        <v>1652.7739646633677</v>
      </c>
      <c r="K14" s="115">
        <f t="shared" si="0"/>
        <v>172.07509683517603</v>
      </c>
      <c r="L14" s="596">
        <f t="shared" si="0"/>
        <v>2785.800437838117</v>
      </c>
      <c r="M14" s="115">
        <f t="shared" si="0"/>
        <v>255.57898622065261</v>
      </c>
      <c r="N14" s="115">
        <f t="shared" si="1"/>
        <v>19600.571232597642</v>
      </c>
      <c r="O14" s="117">
        <f t="shared" si="1"/>
        <v>19856.150218818297</v>
      </c>
      <c r="P14" s="118">
        <f t="shared" si="1"/>
        <v>7.0000000000050022E-3</v>
      </c>
      <c r="Q14" s="119">
        <f t="shared" si="1"/>
        <v>7.0000000000014495E-3</v>
      </c>
      <c r="R14" s="119">
        <f t="shared" si="1"/>
        <v>7.0000000000001172E-3</v>
      </c>
      <c r="S14" s="120">
        <f t="shared" si="1"/>
        <v>2.1000000000015007E-2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-13950.934162885465</v>
      </c>
      <c r="Z14" s="118">
        <f t="shared" si="2"/>
        <v>-1.3999999999891315E-2</v>
      </c>
      <c r="AA14" s="119">
        <f t="shared" si="3"/>
        <v>-1.4000000000228822E-2</v>
      </c>
      <c r="AB14" s="119">
        <f t="shared" si="4"/>
        <v>-1.400000000005696E-2</v>
      </c>
      <c r="AC14" s="120">
        <f t="shared" si="5"/>
        <v>-4.2000000000469752E-2</v>
      </c>
      <c r="AD14" s="121">
        <f t="shared" si="6"/>
        <v>-1.3999999999214197E-2</v>
      </c>
      <c r="AE14" s="114">
        <f t="shared" si="7"/>
        <v>121038.77853553668</v>
      </c>
      <c r="AF14" s="115">
        <f t="shared" si="8"/>
        <v>95610.459081476874</v>
      </c>
      <c r="AG14" s="115">
        <f t="shared" si="9"/>
        <v>91433.873475415065</v>
      </c>
      <c r="AH14" s="596">
        <f t="shared" si="10"/>
        <v>104123.88017318388</v>
      </c>
      <c r="AI14" s="116">
        <f t="shared" si="11"/>
        <v>9217.2452064848276</v>
      </c>
      <c r="AK14" s="348">
        <v>8</v>
      </c>
      <c r="AL14" s="351">
        <v>2026</v>
      </c>
      <c r="AM14" s="352" t="s">
        <v>57</v>
      </c>
      <c r="AN14" s="167">
        <f t="shared" si="12"/>
        <v>714.90646463127723</v>
      </c>
      <c r="AO14" s="74">
        <f t="shared" si="12"/>
        <v>1504.3978008844635</v>
      </c>
      <c r="AP14" s="74">
        <f t="shared" si="12"/>
        <v>172.94384044777897</v>
      </c>
      <c r="AQ14" s="173">
        <f t="shared" si="12"/>
        <v>2392.2481059635197</v>
      </c>
      <c r="AR14" s="75">
        <f t="shared" si="12"/>
        <v>6026.0867220143218</v>
      </c>
      <c r="AS14" s="167">
        <f t="shared" si="12"/>
        <v>714.90646463127723</v>
      </c>
      <c r="AT14" s="74">
        <f t="shared" si="12"/>
        <v>1504.3978008844635</v>
      </c>
      <c r="AU14" s="74">
        <f t="shared" si="12"/>
        <v>172.94384044777888</v>
      </c>
      <c r="AV14" s="173">
        <f t="shared" si="12"/>
        <v>2392.2481059635197</v>
      </c>
      <c r="AW14" s="74">
        <f t="shared" si="12"/>
        <v>306.93205155420571</v>
      </c>
      <c r="AX14" s="74">
        <f t="shared" si="13"/>
        <v>18530.074569573884</v>
      </c>
      <c r="AY14" s="98">
        <f t="shared" si="13"/>
        <v>18837.00662112809</v>
      </c>
      <c r="AZ14" s="168">
        <f t="shared" si="13"/>
        <v>7.0000000000067786E-3</v>
      </c>
      <c r="BA14" s="72">
        <f t="shared" si="13"/>
        <v>7.0000000000218776E-3</v>
      </c>
      <c r="BB14" s="72">
        <f t="shared" si="13"/>
        <v>6.9999999999992291E-3</v>
      </c>
      <c r="BC14" s="88">
        <f t="shared" si="13"/>
        <v>2.1000000000054087E-2</v>
      </c>
      <c r="BD14" s="73">
        <f t="shared" si="13"/>
        <v>6.9999999999954526E-3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7.0000000000000001E-3</v>
      </c>
      <c r="BH14" s="88">
        <f t="shared" si="13"/>
        <v>2.0999999999999998E-2</v>
      </c>
      <c r="BI14" s="75">
        <f t="shared" si="13"/>
        <v>-12810.912899113768</v>
      </c>
      <c r="BJ14" s="168">
        <f t="shared" si="14"/>
        <v>-1.4000000000006778E-2</v>
      </c>
      <c r="BK14" s="72">
        <f t="shared" si="15"/>
        <v>-1.4000000000021877E-2</v>
      </c>
      <c r="BL14" s="72">
        <f t="shared" si="16"/>
        <v>-1.3999999999913963E-2</v>
      </c>
      <c r="BM14" s="88">
        <f t="shared" si="17"/>
        <v>-4.2000000000054084E-2</v>
      </c>
      <c r="BN14" s="73">
        <f t="shared" si="18"/>
        <v>-1.3999999999214197E-2</v>
      </c>
      <c r="BO14" s="167">
        <f t="shared" si="19"/>
        <v>178650.48560245999</v>
      </c>
      <c r="BP14" s="74">
        <f t="shared" si="20"/>
        <v>112295.63511812224</v>
      </c>
      <c r="BQ14" s="74">
        <f t="shared" si="21"/>
        <v>95641.112131552189</v>
      </c>
      <c r="BR14" s="173">
        <f t="shared" si="22"/>
        <v>130921.30119920181</v>
      </c>
      <c r="BS14" s="75">
        <f t="shared" si="23"/>
        <v>9239.9370018150294</v>
      </c>
      <c r="BT14" s="72"/>
      <c r="BU14" s="351">
        <f t="shared" si="25"/>
        <v>2026</v>
      </c>
      <c r="BV14" s="606">
        <f t="shared" si="26"/>
        <v>2785.8004378381165</v>
      </c>
      <c r="BW14" s="618">
        <f t="shared" si="27"/>
        <v>960.95137633957313</v>
      </c>
      <c r="BX14" s="618">
        <f t="shared" si="28"/>
        <v>1652.7739646633675</v>
      </c>
      <c r="BY14" s="619">
        <f t="shared" si="29"/>
        <v>172.07509683517597</v>
      </c>
      <c r="BZ14" s="610">
        <f t="shared" si="30"/>
        <v>2785.800437838117</v>
      </c>
      <c r="CA14" s="611">
        <f t="shared" si="31"/>
        <v>104123.88017318388</v>
      </c>
      <c r="CB14" s="606">
        <f t="shared" si="32"/>
        <v>2392.2481059635197</v>
      </c>
      <c r="CC14" s="618">
        <f t="shared" si="33"/>
        <v>714.90646463127723</v>
      </c>
      <c r="CD14" s="618">
        <f t="shared" si="34"/>
        <v>1504.3978008844635</v>
      </c>
      <c r="CE14" s="619">
        <f t="shared" si="42"/>
        <v>172.94384044777897</v>
      </c>
      <c r="CF14" s="610">
        <f t="shared" si="35"/>
        <v>2392.2481059635197</v>
      </c>
      <c r="CG14" s="611">
        <f t="shared" si="36"/>
        <v>130921.30119920181</v>
      </c>
      <c r="CH14" s="598">
        <f t="shared" si="43"/>
        <v>25.736095294803803</v>
      </c>
      <c r="CJ14" s="748">
        <f t="shared" si="37"/>
        <v>290068350.97585922</v>
      </c>
      <c r="CK14" s="749">
        <f t="shared" si="38"/>
        <v>116312380.82418476</v>
      </c>
      <c r="CL14" s="749">
        <f t="shared" si="38"/>
        <v>158022477.5193772</v>
      </c>
      <c r="CM14" s="749">
        <f t="shared" si="38"/>
        <v>15733492.632297276</v>
      </c>
      <c r="CN14" s="747"/>
      <c r="CO14" s="749">
        <f t="shared" si="39"/>
        <v>313196234.82407004</v>
      </c>
      <c r="CP14" s="749">
        <f t="shared" si="40"/>
        <v>127718387.06671557</v>
      </c>
      <c r="CQ14" s="749">
        <f t="shared" si="24"/>
        <v>168937306.52062723</v>
      </c>
      <c r="CR14" s="749">
        <f t="shared" si="24"/>
        <v>16540541.236727299</v>
      </c>
      <c r="CS14" s="747"/>
      <c r="CT14" s="750">
        <f t="shared" si="44"/>
        <v>7.9732531213429825E-2</v>
      </c>
      <c r="CU14" s="750">
        <f t="shared" si="41"/>
        <v>9.8063560918522308E-2</v>
      </c>
      <c r="CV14" s="750">
        <f t="shared" si="41"/>
        <v>6.907136992527918E-2</v>
      </c>
      <c r="CW14" s="750">
        <f t="shared" si="41"/>
        <v>5.129494278805824E-2</v>
      </c>
      <c r="CX14" s="747"/>
    </row>
    <row r="15" spans="1:102">
      <c r="A15" s="111">
        <v>8</v>
      </c>
      <c r="B15" s="112">
        <v>2027</v>
      </c>
      <c r="C15" s="113" t="s">
        <v>57</v>
      </c>
      <c r="D15" s="114">
        <f t="shared" si="0"/>
        <v>990.2729780593661</v>
      </c>
      <c r="E15" s="115">
        <f t="shared" si="0"/>
        <v>1789.9615488221261</v>
      </c>
      <c r="F15" s="115">
        <f t="shared" si="0"/>
        <v>192.42295590823869</v>
      </c>
      <c r="G15" s="596">
        <f t="shared" si="0"/>
        <v>2972.6574827897311</v>
      </c>
      <c r="H15" s="116">
        <f t="shared" si="0"/>
        <v>6287.0764067918644</v>
      </c>
      <c r="I15" s="114">
        <f t="shared" si="0"/>
        <v>990.27297805936632</v>
      </c>
      <c r="J15" s="115">
        <f t="shared" si="0"/>
        <v>1789.9615488221259</v>
      </c>
      <c r="K15" s="115">
        <f t="shared" si="0"/>
        <v>190.89464688820223</v>
      </c>
      <c r="L15" s="596">
        <f t="shared" si="0"/>
        <v>2971.1291737696947</v>
      </c>
      <c r="M15" s="115">
        <f t="shared" si="0"/>
        <v>259.39662028584746</v>
      </c>
      <c r="N15" s="115">
        <f t="shared" si="1"/>
        <v>20857.170554775879</v>
      </c>
      <c r="O15" s="117">
        <f t="shared" si="1"/>
        <v>21116.567175061726</v>
      </c>
      <c r="P15" s="118">
        <f t="shared" si="1"/>
        <v>6.9999999999978968E-3</v>
      </c>
      <c r="Q15" s="119">
        <f t="shared" si="1"/>
        <v>6.9999999999907914E-3</v>
      </c>
      <c r="R15" s="119">
        <f t="shared" si="1"/>
        <v>6.9999999999992291E-3</v>
      </c>
      <c r="S15" s="120">
        <f t="shared" si="1"/>
        <v>2.1000000000000796E-2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1.5353090200364605</v>
      </c>
      <c r="X15" s="120">
        <f t="shared" si="1"/>
        <v>1.5493090200364605</v>
      </c>
      <c r="Y15" s="116">
        <f t="shared" si="1"/>
        <v>-14829.483768269864</v>
      </c>
      <c r="Z15" s="118">
        <f t="shared" si="2"/>
        <v>-1.400000000022527E-2</v>
      </c>
      <c r="AA15" s="119">
        <f t="shared" si="3"/>
        <v>-1.3999999999763417E-2</v>
      </c>
      <c r="AB15" s="119">
        <f t="shared" si="4"/>
        <v>-1.4000000000000012E-2</v>
      </c>
      <c r="AC15" s="120">
        <f t="shared" si="5"/>
        <v>-4.2000000000030013E-2</v>
      </c>
      <c r="AD15" s="121">
        <f t="shared" si="6"/>
        <v>-1.3999999997395207E-2</v>
      </c>
      <c r="AE15" s="114">
        <f t="shared" si="7"/>
        <v>127105.59245527789</v>
      </c>
      <c r="AF15" s="115">
        <f t="shared" si="8"/>
        <v>94657.66102207861</v>
      </c>
      <c r="AG15" s="115">
        <f t="shared" si="9"/>
        <v>89293.39357795156</v>
      </c>
      <c r="AH15" s="596">
        <f t="shared" si="10"/>
        <v>105127.85532641795</v>
      </c>
      <c r="AI15" s="116">
        <f t="shared" si="11"/>
        <v>9503.6823194748195</v>
      </c>
      <c r="AK15" s="348">
        <v>8</v>
      </c>
      <c r="AL15" s="351">
        <v>2027</v>
      </c>
      <c r="AM15" s="352" t="s">
        <v>57</v>
      </c>
      <c r="AN15" s="167">
        <f t="shared" si="12"/>
        <v>736.39752644285272</v>
      </c>
      <c r="AO15" s="74">
        <f t="shared" si="12"/>
        <v>1629.1349197377717</v>
      </c>
      <c r="AP15" s="74">
        <f t="shared" si="12"/>
        <v>192.63928625636652</v>
      </c>
      <c r="AQ15" s="173">
        <f t="shared" si="12"/>
        <v>2558.1717324369911</v>
      </c>
      <c r="AR15" s="75">
        <f t="shared" si="12"/>
        <v>6410.7951737258682</v>
      </c>
      <c r="AS15" s="167">
        <f t="shared" si="12"/>
        <v>736.39752644285272</v>
      </c>
      <c r="AT15" s="74">
        <f t="shared" si="12"/>
        <v>1629.134919737771</v>
      </c>
      <c r="AU15" s="74">
        <f t="shared" si="12"/>
        <v>192.63928625636655</v>
      </c>
      <c r="AV15" s="173">
        <f t="shared" si="12"/>
        <v>2558.1717324369906</v>
      </c>
      <c r="AW15" s="74">
        <f t="shared" si="12"/>
        <v>311.27810284552061</v>
      </c>
      <c r="AX15" s="74">
        <f t="shared" si="13"/>
        <v>19715.256819678652</v>
      </c>
      <c r="AY15" s="98">
        <f t="shared" si="13"/>
        <v>20026.534922524173</v>
      </c>
      <c r="AZ15" s="168">
        <f t="shared" si="13"/>
        <v>7.0000000000014495E-3</v>
      </c>
      <c r="BA15" s="72">
        <f t="shared" si="13"/>
        <v>7.0000000000032259E-3</v>
      </c>
      <c r="BB15" s="72">
        <f t="shared" si="13"/>
        <v>7.0000000000005613E-3</v>
      </c>
      <c r="BC15" s="88">
        <f t="shared" si="13"/>
        <v>2.0999999999990138E-2</v>
      </c>
      <c r="BD15" s="73">
        <f t="shared" si="13"/>
        <v>6.9999999999954526E-3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7.0000000000000001E-3</v>
      </c>
      <c r="BH15" s="88">
        <f t="shared" si="13"/>
        <v>2.0999999999999998E-2</v>
      </c>
      <c r="BI15" s="75">
        <f t="shared" si="13"/>
        <v>-13615.732748798306</v>
      </c>
      <c r="BJ15" s="168">
        <f t="shared" si="14"/>
        <v>-1.4000000000001449E-2</v>
      </c>
      <c r="BK15" s="72">
        <f t="shared" si="15"/>
        <v>-1.3999999999321104E-2</v>
      </c>
      <c r="BL15" s="72">
        <f t="shared" si="16"/>
        <v>-1.4000000000028982E-2</v>
      </c>
      <c r="BM15" s="88">
        <f t="shared" si="17"/>
        <v>-4.1999999999535388E-2</v>
      </c>
      <c r="BN15" s="73">
        <f t="shared" si="18"/>
        <v>-1.3999999999214197E-2</v>
      </c>
      <c r="BO15" s="167">
        <f t="shared" si="19"/>
        <v>187269.88735465053</v>
      </c>
      <c r="BP15" s="74">
        <f t="shared" si="20"/>
        <v>111055.93873342637</v>
      </c>
      <c r="BQ15" s="74">
        <f t="shared" si="21"/>
        <v>92925.556389912555</v>
      </c>
      <c r="BR15" s="173">
        <f t="shared" si="22"/>
        <v>131629.6706152827</v>
      </c>
      <c r="BS15" s="75">
        <f t="shared" si="23"/>
        <v>9525.9414276848056</v>
      </c>
      <c r="BT15" s="72"/>
      <c r="BU15" s="351">
        <f t="shared" si="25"/>
        <v>2027</v>
      </c>
      <c r="BV15" s="606">
        <f t="shared" si="26"/>
        <v>2972.6574827897311</v>
      </c>
      <c r="BW15" s="618">
        <f t="shared" si="27"/>
        <v>990.2729780593661</v>
      </c>
      <c r="BX15" s="618">
        <f t="shared" si="28"/>
        <v>1789.9615488221261</v>
      </c>
      <c r="BY15" s="619">
        <f t="shared" si="29"/>
        <v>192.42295590823869</v>
      </c>
      <c r="BZ15" s="610">
        <f t="shared" si="30"/>
        <v>2971.1291737696947</v>
      </c>
      <c r="CA15" s="611">
        <f t="shared" si="31"/>
        <v>105127.85532641795</v>
      </c>
      <c r="CB15" s="606">
        <f t="shared" si="32"/>
        <v>2558.1717324369911</v>
      </c>
      <c r="CC15" s="618">
        <f t="shared" si="33"/>
        <v>736.39752644285272</v>
      </c>
      <c r="CD15" s="618">
        <f t="shared" si="34"/>
        <v>1629.1349197377717</v>
      </c>
      <c r="CE15" s="619">
        <f t="shared" si="42"/>
        <v>192.63928625636652</v>
      </c>
      <c r="CF15" s="610">
        <f t="shared" si="35"/>
        <v>2558.1717324369906</v>
      </c>
      <c r="CG15" s="611">
        <f t="shared" si="36"/>
        <v>131629.6706152827</v>
      </c>
      <c r="CH15" s="598">
        <f t="shared" si="43"/>
        <v>25.209127691778392</v>
      </c>
      <c r="CJ15" s="748">
        <f t="shared" si="37"/>
        <v>312509105.7857126</v>
      </c>
      <c r="CK15" s="749">
        <f t="shared" si="38"/>
        <v>125869233.56868812</v>
      </c>
      <c r="CL15" s="749">
        <f t="shared" si="38"/>
        <v>169433573.53095964</v>
      </c>
      <c r="CM15" s="749">
        <f t="shared" si="38"/>
        <v>17182098.735347178</v>
      </c>
      <c r="CN15" s="747"/>
      <c r="CO15" s="749">
        <f t="shared" si="39"/>
        <v>336731302.51800823</v>
      </c>
      <c r="CP15" s="749">
        <f t="shared" si="40"/>
        <v>137905081.82519633</v>
      </c>
      <c r="CQ15" s="749">
        <f t="shared" si="24"/>
        <v>180925107.83488348</v>
      </c>
      <c r="CR15" s="749">
        <f t="shared" si="24"/>
        <v>17901112.857928492</v>
      </c>
      <c r="CS15" s="747"/>
      <c r="CT15" s="750">
        <f t="shared" si="44"/>
        <v>7.7508771052913872E-2</v>
      </c>
      <c r="CU15" s="750">
        <f t="shared" si="41"/>
        <v>9.5621844316229332E-2</v>
      </c>
      <c r="CV15" s="750">
        <f t="shared" si="41"/>
        <v>6.782324225619929E-2</v>
      </c>
      <c r="CW15" s="750">
        <f t="shared" si="41"/>
        <v>4.1846699501391527E-2</v>
      </c>
      <c r="CX15" s="747"/>
    </row>
    <row r="16" spans="1:102">
      <c r="A16" s="111">
        <v>8</v>
      </c>
      <c r="B16" s="112">
        <v>2028</v>
      </c>
      <c r="C16" s="113" t="s">
        <v>57</v>
      </c>
      <c r="D16" s="114">
        <f t="shared" si="0"/>
        <v>1020.5327529683389</v>
      </c>
      <c r="E16" s="115">
        <f t="shared" si="0"/>
        <v>1949.2878706347335</v>
      </c>
      <c r="F16" s="115">
        <f t="shared" si="0"/>
        <v>222.9488478016203</v>
      </c>
      <c r="G16" s="596">
        <f t="shared" si="0"/>
        <v>3192.769471404692</v>
      </c>
      <c r="H16" s="116">
        <f t="shared" si="0"/>
        <v>6731.4364905170669</v>
      </c>
      <c r="I16" s="114">
        <f t="shared" si="0"/>
        <v>1020.5327529683384</v>
      </c>
      <c r="J16" s="115">
        <f t="shared" si="0"/>
        <v>1949.2878706347335</v>
      </c>
      <c r="K16" s="115">
        <f t="shared" si="0"/>
        <v>207.68337633915684</v>
      </c>
      <c r="L16" s="596">
        <f t="shared" si="0"/>
        <v>3177.5039999422293</v>
      </c>
      <c r="M16" s="115">
        <f t="shared" si="0"/>
        <v>264.81477918070851</v>
      </c>
      <c r="N16" s="115">
        <f t="shared" si="1"/>
        <v>22392.647386391563</v>
      </c>
      <c r="O16" s="117">
        <f t="shared" si="1"/>
        <v>22657.462165572273</v>
      </c>
      <c r="P16" s="118">
        <f t="shared" si="1"/>
        <v>6.9999999999978968E-3</v>
      </c>
      <c r="Q16" s="119">
        <f t="shared" si="1"/>
        <v>7.0000000000085549E-3</v>
      </c>
      <c r="R16" s="119">
        <f t="shared" si="1"/>
        <v>6.9999999999998119E-3</v>
      </c>
      <c r="S16" s="120">
        <f t="shared" si="1"/>
        <v>2.1000000000000796E-2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15.272471462463452</v>
      </c>
      <c r="X16" s="120">
        <f t="shared" si="1"/>
        <v>15.286471462463455</v>
      </c>
      <c r="Y16" s="116">
        <f t="shared" si="1"/>
        <v>-15926.018675055202</v>
      </c>
      <c r="Z16" s="118">
        <f t="shared" si="2"/>
        <v>-1.3999999999543149E-2</v>
      </c>
      <c r="AA16" s="119">
        <f t="shared" si="3"/>
        <v>-1.4000000000008554E-2</v>
      </c>
      <c r="AB16" s="119">
        <f t="shared" si="4"/>
        <v>-1.3999999999985135E-2</v>
      </c>
      <c r="AC16" s="120">
        <f t="shared" si="5"/>
        <v>-4.20000000006997E-2</v>
      </c>
      <c r="AD16" s="121">
        <f t="shared" si="6"/>
        <v>-1.4000000002852175E-2</v>
      </c>
      <c r="AE16" s="114">
        <f t="shared" si="7"/>
        <v>133499.0801355085</v>
      </c>
      <c r="AF16" s="115">
        <f t="shared" si="8"/>
        <v>93236.048141904088</v>
      </c>
      <c r="AG16" s="115">
        <f t="shared" si="9"/>
        <v>89488.299801489135</v>
      </c>
      <c r="AH16" s="596">
        <f t="shared" si="10"/>
        <v>105922.54605190243</v>
      </c>
      <c r="AI16" s="116">
        <f t="shared" si="11"/>
        <v>9800.3733969843051</v>
      </c>
      <c r="AK16" s="348">
        <v>8</v>
      </c>
      <c r="AL16" s="351">
        <v>2028</v>
      </c>
      <c r="AM16" s="352" t="s">
        <v>57</v>
      </c>
      <c r="AN16" s="167">
        <f t="shared" si="12"/>
        <v>758.56228617169859</v>
      </c>
      <c r="AO16" s="74">
        <f t="shared" si="12"/>
        <v>1773.7428534080857</v>
      </c>
      <c r="AP16" s="74">
        <f t="shared" si="12"/>
        <v>216.77614299357955</v>
      </c>
      <c r="AQ16" s="173">
        <f t="shared" si="12"/>
        <v>2749.0812825733633</v>
      </c>
      <c r="AR16" s="75">
        <f t="shared" si="12"/>
        <v>6851.1113419466528</v>
      </c>
      <c r="AS16" s="167">
        <f t="shared" si="12"/>
        <v>758.56228617169847</v>
      </c>
      <c r="AT16" s="74">
        <f t="shared" si="12"/>
        <v>1773.7428534080857</v>
      </c>
      <c r="AU16" s="74">
        <f t="shared" si="12"/>
        <v>215.79520306524932</v>
      </c>
      <c r="AV16" s="173">
        <f t="shared" si="12"/>
        <v>2748.1003426450338</v>
      </c>
      <c r="AW16" s="74">
        <f t="shared" si="12"/>
        <v>314.43144272247588</v>
      </c>
      <c r="AX16" s="74">
        <f t="shared" si="13"/>
        <v>21048.883396307683</v>
      </c>
      <c r="AY16" s="98">
        <f t="shared" si="13"/>
        <v>21363.314839030161</v>
      </c>
      <c r="AZ16" s="168">
        <f t="shared" si="13"/>
        <v>7.0000000000121076E-3</v>
      </c>
      <c r="BA16" s="72">
        <f t="shared" si="13"/>
        <v>7.0000000000245421E-3</v>
      </c>
      <c r="BB16" s="72">
        <f t="shared" si="13"/>
        <v>7.0000000000001172E-3</v>
      </c>
      <c r="BC16" s="88">
        <f t="shared" si="13"/>
        <v>2.1000000000057639E-2</v>
      </c>
      <c r="BD16" s="73">
        <f t="shared" si="13"/>
        <v>7.0000000000096634E-3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0.98793992833018962</v>
      </c>
      <c r="BH16" s="88">
        <f t="shared" si="13"/>
        <v>1.0019399283301895</v>
      </c>
      <c r="BI16" s="75">
        <f t="shared" si="13"/>
        <v>-14512.196497083509</v>
      </c>
      <c r="BJ16" s="168">
        <f t="shared" si="14"/>
        <v>-1.399999999989842E-2</v>
      </c>
      <c r="BK16" s="72">
        <f t="shared" si="15"/>
        <v>-1.4000000000024541E-2</v>
      </c>
      <c r="BL16" s="72">
        <f t="shared" si="16"/>
        <v>-1.3999999999959933E-2</v>
      </c>
      <c r="BM16" s="88">
        <f t="shared" si="17"/>
        <v>-4.2000000000784743E-2</v>
      </c>
      <c r="BN16" s="73">
        <f t="shared" si="18"/>
        <v>-1.3999999997395207E-2</v>
      </c>
      <c r="BO16" s="167">
        <f t="shared" si="19"/>
        <v>196245.21593420487</v>
      </c>
      <c r="BP16" s="74">
        <f t="shared" si="20"/>
        <v>109058.79704999331</v>
      </c>
      <c r="BQ16" s="74">
        <f t="shared" si="21"/>
        <v>89701.902446564651</v>
      </c>
      <c r="BR16" s="173">
        <f t="shared" si="22"/>
        <v>131604.99133147139</v>
      </c>
      <c r="BS16" s="75">
        <f t="shared" si="23"/>
        <v>9822.322151920147</v>
      </c>
      <c r="BT16" s="72"/>
      <c r="BU16" s="351">
        <f t="shared" si="25"/>
        <v>2028</v>
      </c>
      <c r="BV16" s="606">
        <f t="shared" si="26"/>
        <v>3192.769471404692</v>
      </c>
      <c r="BW16" s="618">
        <f t="shared" si="27"/>
        <v>1020.5327529683389</v>
      </c>
      <c r="BX16" s="618">
        <f t="shared" si="28"/>
        <v>1949.2878706347335</v>
      </c>
      <c r="BY16" s="619">
        <f t="shared" si="29"/>
        <v>222.9488478016203</v>
      </c>
      <c r="BZ16" s="610">
        <f t="shared" si="30"/>
        <v>3177.5039999422293</v>
      </c>
      <c r="CA16" s="611">
        <f t="shared" si="31"/>
        <v>105922.54605190243</v>
      </c>
      <c r="CB16" s="606">
        <f t="shared" si="32"/>
        <v>2749.0812825733633</v>
      </c>
      <c r="CC16" s="618">
        <f t="shared" si="33"/>
        <v>758.56228617169859</v>
      </c>
      <c r="CD16" s="618">
        <f t="shared" si="34"/>
        <v>1773.7428534080857</v>
      </c>
      <c r="CE16" s="619">
        <f t="shared" si="42"/>
        <v>216.77614299357955</v>
      </c>
      <c r="CF16" s="610">
        <f t="shared" si="35"/>
        <v>2748.1003426450338</v>
      </c>
      <c r="CG16" s="611">
        <f t="shared" si="36"/>
        <v>131604.99133147139</v>
      </c>
      <c r="CH16" s="598">
        <f t="shared" si="43"/>
        <v>24.24643877705175</v>
      </c>
      <c r="CJ16" s="748">
        <f t="shared" si="37"/>
        <v>338186271.36797166</v>
      </c>
      <c r="CK16" s="749">
        <f t="shared" si="38"/>
        <v>136240183.76943135</v>
      </c>
      <c r="CL16" s="749">
        <f t="shared" si="38"/>
        <v>181743897.74892971</v>
      </c>
      <c r="CM16" s="749">
        <f t="shared" si="38"/>
        <v>19951313.33246797</v>
      </c>
      <c r="CN16" s="747"/>
      <c r="CO16" s="749">
        <f t="shared" si="39"/>
        <v>361792818.36257774</v>
      </c>
      <c r="CP16" s="749">
        <f t="shared" si="40"/>
        <v>148864219.6493091</v>
      </c>
      <c r="CQ16" s="749">
        <f t="shared" si="24"/>
        <v>193442261.86870846</v>
      </c>
      <c r="CR16" s="749">
        <f t="shared" si="24"/>
        <v>19445232.431552622</v>
      </c>
      <c r="CS16" s="747"/>
      <c r="CT16" s="750">
        <f t="shared" si="44"/>
        <v>6.9803386456573246E-2</v>
      </c>
      <c r="CU16" s="750">
        <f t="shared" si="41"/>
        <v>9.2660150115785767E-2</v>
      </c>
      <c r="CV16" s="750">
        <f t="shared" si="41"/>
        <v>6.4367300716415166E-2</v>
      </c>
      <c r="CW16" s="750">
        <f t="shared" si="41"/>
        <v>-2.5365793844346674E-2</v>
      </c>
      <c r="CX16" s="747"/>
    </row>
    <row r="17" spans="1:102">
      <c r="A17" s="111">
        <v>8</v>
      </c>
      <c r="B17" s="112">
        <v>2029</v>
      </c>
      <c r="C17" s="113" t="s">
        <v>57</v>
      </c>
      <c r="D17" s="114">
        <f t="shared" si="0"/>
        <v>1051.6738625269136</v>
      </c>
      <c r="E17" s="115">
        <f t="shared" si="0"/>
        <v>2134.0798346432912</v>
      </c>
      <c r="F17" s="115">
        <f t="shared" si="0"/>
        <v>259.80734347359049</v>
      </c>
      <c r="G17" s="596">
        <f t="shared" si="0"/>
        <v>3445.5610406437954</v>
      </c>
      <c r="H17" s="116">
        <f t="shared" si="0"/>
        <v>7241.0049927356968</v>
      </c>
      <c r="I17" s="114">
        <f t="shared" si="0"/>
        <v>1051.673862526914</v>
      </c>
      <c r="J17" s="115">
        <f t="shared" si="0"/>
        <v>2134.0798346432907</v>
      </c>
      <c r="K17" s="115">
        <f t="shared" si="0"/>
        <v>228.30923699124429</v>
      </c>
      <c r="L17" s="596">
        <f t="shared" si="0"/>
        <v>3414.0629341614494</v>
      </c>
      <c r="M17" s="115">
        <f t="shared" si="0"/>
        <v>269.72713079630341</v>
      </c>
      <c r="N17" s="115">
        <f t="shared" si="1"/>
        <v>24085.748799574241</v>
      </c>
      <c r="O17" s="117">
        <f t="shared" si="1"/>
        <v>24355.475930370543</v>
      </c>
      <c r="P17" s="118">
        <f t="shared" si="1"/>
        <v>6.9999999999907914E-3</v>
      </c>
      <c r="Q17" s="119">
        <f t="shared" si="1"/>
        <v>7.0000000000050022E-3</v>
      </c>
      <c r="R17" s="119">
        <f t="shared" si="1"/>
        <v>6.9999999999994511E-3</v>
      </c>
      <c r="S17" s="120">
        <f t="shared" si="1"/>
        <v>2.1000000000000796E-2</v>
      </c>
      <c r="T17" s="121">
        <f t="shared" si="1"/>
        <v>6.9999999999954526E-3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31.505106482346246</v>
      </c>
      <c r="X17" s="120">
        <f t="shared" si="1"/>
        <v>31.519106482346242</v>
      </c>
      <c r="Y17" s="116">
        <f t="shared" si="1"/>
        <v>-17114.463937634842</v>
      </c>
      <c r="Z17" s="118">
        <f t="shared" si="2"/>
        <v>-1.4000000000445538E-2</v>
      </c>
      <c r="AA17" s="119">
        <f t="shared" si="3"/>
        <v>-1.3999999999550254E-2</v>
      </c>
      <c r="AB17" s="119">
        <f t="shared" si="4"/>
        <v>-1.4000000000041979E-2</v>
      </c>
      <c r="AC17" s="120">
        <f t="shared" si="5"/>
        <v>-4.2000000000268045E-2</v>
      </c>
      <c r="AD17" s="121">
        <f t="shared" si="6"/>
        <v>-1.4000000006490154E-2</v>
      </c>
      <c r="AE17" s="114">
        <f t="shared" si="7"/>
        <v>140059.34960861233</v>
      </c>
      <c r="AF17" s="115">
        <f t="shared" si="8"/>
        <v>91133.439865750552</v>
      </c>
      <c r="AG17" s="115">
        <f t="shared" si="9"/>
        <v>88483.422248701318</v>
      </c>
      <c r="AH17" s="596">
        <f t="shared" si="10"/>
        <v>106027.44678869151</v>
      </c>
      <c r="AI17" s="116">
        <f t="shared" si="11"/>
        <v>10108.935574433124</v>
      </c>
      <c r="AK17" s="496">
        <v>8</v>
      </c>
      <c r="AL17" s="351">
        <v>2029</v>
      </c>
      <c r="AM17" s="352" t="s">
        <v>57</v>
      </c>
      <c r="AN17" s="167">
        <f t="shared" si="12"/>
        <v>781.51580183436761</v>
      </c>
      <c r="AO17" s="74">
        <f t="shared" si="12"/>
        <v>1942.1282826435311</v>
      </c>
      <c r="AP17" s="74">
        <f t="shared" si="12"/>
        <v>254.89697227748664</v>
      </c>
      <c r="AQ17" s="173">
        <f t="shared" si="12"/>
        <v>2978.5410567553849</v>
      </c>
      <c r="AR17" s="75">
        <f t="shared" si="12"/>
        <v>7369.6411287932606</v>
      </c>
      <c r="AS17" s="167">
        <f t="shared" si="12"/>
        <v>781.51580183436738</v>
      </c>
      <c r="AT17" s="74">
        <f t="shared" si="12"/>
        <v>1942.1282826435308</v>
      </c>
      <c r="AU17" s="74">
        <f t="shared" si="12"/>
        <v>235.05978604292426</v>
      </c>
      <c r="AV17" s="173">
        <f t="shared" si="12"/>
        <v>2958.7038705208224</v>
      </c>
      <c r="AW17" s="74">
        <f t="shared" si="12"/>
        <v>321.5464961728041</v>
      </c>
      <c r="AX17" s="74">
        <f t="shared" si="13"/>
        <v>22783.051690120788</v>
      </c>
      <c r="AY17" s="98">
        <f t="shared" si="13"/>
        <v>23104.598186293591</v>
      </c>
      <c r="AZ17" s="168">
        <f t="shared" si="13"/>
        <v>7.0000000000263185E-3</v>
      </c>
      <c r="BA17" s="72">
        <f t="shared" si="13"/>
        <v>7.0000000000352003E-3</v>
      </c>
      <c r="BB17" s="72">
        <f t="shared" si="13"/>
        <v>6.9999999999993956E-3</v>
      </c>
      <c r="BC17" s="88">
        <f t="shared" si="13"/>
        <v>2.1000000000054087E-2</v>
      </c>
      <c r="BD17" s="73">
        <f t="shared" si="13"/>
        <v>7.0000000000096634E-3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19.844186234562361</v>
      </c>
      <c r="BH17" s="88">
        <f t="shared" si="13"/>
        <v>19.858186234562364</v>
      </c>
      <c r="BI17" s="75">
        <f t="shared" si="13"/>
        <v>-15734.950057500333</v>
      </c>
      <c r="BJ17" s="168">
        <f t="shared" si="14"/>
        <v>-1.3999999999798944E-2</v>
      </c>
      <c r="BK17" s="72">
        <f t="shared" si="15"/>
        <v>-1.3999999999807826E-2</v>
      </c>
      <c r="BL17" s="72">
        <f t="shared" si="16"/>
        <v>-1.399999999997803E-2</v>
      </c>
      <c r="BM17" s="88">
        <f t="shared" si="17"/>
        <v>-4.199999999989501E-2</v>
      </c>
      <c r="BN17" s="73">
        <f t="shared" si="18"/>
        <v>-1.3999999997395207E-2</v>
      </c>
      <c r="BO17" s="167">
        <f t="shared" si="19"/>
        <v>206028.36605497953</v>
      </c>
      <c r="BP17" s="74">
        <f t="shared" si="20"/>
        <v>106687.38815075859</v>
      </c>
      <c r="BQ17" s="74">
        <f t="shared" si="21"/>
        <v>89829.320909496018</v>
      </c>
      <c r="BR17" s="173">
        <f t="shared" si="22"/>
        <v>131588.11953420393</v>
      </c>
      <c r="BS17" s="75">
        <f t="shared" si="23"/>
        <v>10129.13613866273</v>
      </c>
      <c r="BT17" s="72"/>
      <c r="BU17" s="351">
        <f t="shared" si="25"/>
        <v>2029</v>
      </c>
      <c r="BV17" s="606">
        <f t="shared" si="26"/>
        <v>3445.5610406437954</v>
      </c>
      <c r="BW17" s="618">
        <f t="shared" si="27"/>
        <v>1051.6738625269136</v>
      </c>
      <c r="BX17" s="618">
        <f t="shared" si="28"/>
        <v>2134.0798346432912</v>
      </c>
      <c r="BY17" s="619">
        <f t="shared" si="29"/>
        <v>259.80734347359049</v>
      </c>
      <c r="BZ17" s="610">
        <f t="shared" si="30"/>
        <v>3414.0629341614494</v>
      </c>
      <c r="CA17" s="611">
        <f t="shared" si="31"/>
        <v>106027.44678869151</v>
      </c>
      <c r="CB17" s="606">
        <f t="shared" si="32"/>
        <v>2978.5410567553849</v>
      </c>
      <c r="CC17" s="618">
        <f t="shared" si="33"/>
        <v>781.51580183436761</v>
      </c>
      <c r="CD17" s="618">
        <f t="shared" si="34"/>
        <v>1942.1282826435311</v>
      </c>
      <c r="CE17" s="619">
        <f t="shared" si="42"/>
        <v>254.89697227748664</v>
      </c>
      <c r="CF17" s="610">
        <f t="shared" si="35"/>
        <v>2958.7038705208224</v>
      </c>
      <c r="CG17" s="611">
        <f t="shared" si="36"/>
        <v>131588.11953420393</v>
      </c>
      <c r="CH17" s="598">
        <f t="shared" si="43"/>
        <v>24.107599984420844</v>
      </c>
      <c r="CJ17" s="748">
        <f t="shared" si="37"/>
        <v>365324039.89404857</v>
      </c>
      <c r="CK17" s="749">
        <f t="shared" si="38"/>
        <v>147296757.18589669</v>
      </c>
      <c r="CL17" s="749">
        <f t="shared" si="38"/>
        <v>194486036.27917525</v>
      </c>
      <c r="CM17" s="749">
        <f t="shared" si="38"/>
        <v>22988642.875887081</v>
      </c>
      <c r="CN17" s="747"/>
      <c r="CO17" s="749">
        <f t="shared" si="39"/>
        <v>391940616.61386168</v>
      </c>
      <c r="CP17" s="749">
        <f t="shared" si="40"/>
        <v>161014423.69808194</v>
      </c>
      <c r="CQ17" s="749">
        <f t="shared" si="24"/>
        <v>207200593.9289566</v>
      </c>
      <c r="CR17" s="749">
        <f t="shared" si="24"/>
        <v>22897221.921573259</v>
      </c>
      <c r="CS17" s="747"/>
      <c r="CT17" s="750">
        <f t="shared" si="44"/>
        <v>7.285744657683213E-2</v>
      </c>
      <c r="CU17" s="750">
        <f t="shared" si="41"/>
        <v>9.3129453589210875E-2</v>
      </c>
      <c r="CV17" s="750">
        <f t="shared" si="41"/>
        <v>6.537516982211633E-2</v>
      </c>
      <c r="CW17" s="750">
        <f t="shared" si="41"/>
        <v>-3.9767877907100901E-3</v>
      </c>
      <c r="CX17" s="747"/>
    </row>
    <row r="18" spans="1:102" ht="17" thickBot="1">
      <c r="A18" s="122">
        <v>8</v>
      </c>
      <c r="B18" s="123">
        <v>2030</v>
      </c>
      <c r="C18" s="124" t="s">
        <v>57</v>
      </c>
      <c r="D18" s="114">
        <f t="shared" si="0"/>
        <v>1061.3351379202445</v>
      </c>
      <c r="E18" s="115">
        <f>SUMIFS(E$19:E$109,$AL$19:$AL$109,$AL18)</f>
        <v>2150.0128117357499</v>
      </c>
      <c r="F18" s="115">
        <f t="shared" si="0"/>
        <v>264.25458542875128</v>
      </c>
      <c r="G18" s="596">
        <f t="shared" si="0"/>
        <v>3475.6025350847463</v>
      </c>
      <c r="H18" s="116">
        <f t="shared" si="0"/>
        <v>7447.9160694597776</v>
      </c>
      <c r="I18" s="114">
        <f t="shared" si="0"/>
        <v>1058.8567407868827</v>
      </c>
      <c r="J18" s="115">
        <f t="shared" si="0"/>
        <v>2148.9032530918962</v>
      </c>
      <c r="K18" s="115">
        <f t="shared" si="0"/>
        <v>229.92835308573916</v>
      </c>
      <c r="L18" s="596">
        <f t="shared" si="0"/>
        <v>3437.6883469645181</v>
      </c>
      <c r="M18" s="115">
        <f t="shared" si="0"/>
        <v>269.42386079418225</v>
      </c>
      <c r="N18" s="115">
        <f t="shared" si="1"/>
        <v>24265.988283204348</v>
      </c>
      <c r="O18" s="117">
        <f t="shared" si="1"/>
        <v>24535.412143998528</v>
      </c>
      <c r="P18" s="118">
        <f t="shared" si="1"/>
        <v>2.4853971333623051</v>
      </c>
      <c r="Q18" s="119">
        <f t="shared" si="1"/>
        <v>1.116558643854094</v>
      </c>
      <c r="R18" s="119">
        <f t="shared" si="1"/>
        <v>6.9999999999995613E-3</v>
      </c>
      <c r="S18" s="120">
        <f t="shared" si="1"/>
        <v>3.6089557772163943</v>
      </c>
      <c r="T18" s="121">
        <f t="shared" si="1"/>
        <v>7.0000000000190995E-3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34.333232343012106</v>
      </c>
      <c r="X18" s="120">
        <f t="shared" si="1"/>
        <v>34.347232343012102</v>
      </c>
      <c r="Y18" s="116">
        <f t="shared" si="1"/>
        <v>-17087.489074538746</v>
      </c>
      <c r="Z18" s="118">
        <f t="shared" ref="Z18" si="45">D18-I18-P18-U18</f>
        <v>-1.4000000000509487E-2</v>
      </c>
      <c r="AA18" s="119">
        <f t="shared" ref="AA18" si="46">E18-J18-Q18-V18</f>
        <v>-1.400000000040557E-2</v>
      </c>
      <c r="AB18" s="119">
        <f t="shared" ref="AB18" si="47">F18-K18-R18-W18</f>
        <v>-1.3999999999981583E-2</v>
      </c>
      <c r="AC18" s="120">
        <f t="shared" ref="AC18" si="48">G18-L18-S18-X18</f>
        <v>-4.2000000000378179E-2</v>
      </c>
      <c r="AD18" s="121">
        <f t="shared" ref="AD18" si="49">H18-M18-N18-T18-Y18</f>
        <v>-1.4000000006490154E-2</v>
      </c>
      <c r="AE18" s="114">
        <f t="shared" si="7"/>
        <v>141917.23710263224</v>
      </c>
      <c r="AF18" s="115">
        <f t="shared" si="8"/>
        <v>90931.497878484719</v>
      </c>
      <c r="AG18" s="115">
        <f t="shared" si="9"/>
        <v>88509.680067217108</v>
      </c>
      <c r="AH18" s="596">
        <f t="shared" si="10"/>
        <v>106473.84601712585</v>
      </c>
      <c r="AI18" s="116">
        <f t="shared" si="11"/>
        <v>10152.34610358232</v>
      </c>
      <c r="AK18" s="382">
        <v>8</v>
      </c>
      <c r="AL18" s="353">
        <v>2030</v>
      </c>
      <c r="AM18" s="354" t="s">
        <v>57</v>
      </c>
      <c r="AN18" s="167">
        <f t="shared" si="12"/>
        <v>790.28545475113356</v>
      </c>
      <c r="AO18" s="74">
        <f t="shared" si="12"/>
        <v>1958.5225601670822</v>
      </c>
      <c r="AP18" s="74">
        <f t="shared" si="12"/>
        <v>258.79770663487562</v>
      </c>
      <c r="AQ18" s="173">
        <f t="shared" si="12"/>
        <v>3007.6057215530914</v>
      </c>
      <c r="AR18" s="75">
        <f t="shared" si="12"/>
        <v>7575.9973174732186</v>
      </c>
      <c r="AS18" s="167">
        <f t="shared" si="12"/>
        <v>787.65214839381849</v>
      </c>
      <c r="AT18" s="74">
        <f t="shared" si="12"/>
        <v>1955.5035516180483</v>
      </c>
      <c r="AU18" s="74">
        <f t="shared" si="12"/>
        <v>237.14671789503825</v>
      </c>
      <c r="AV18" s="173">
        <f t="shared" si="12"/>
        <v>2980.3024179069052</v>
      </c>
      <c r="AW18" s="74">
        <f t="shared" si="12"/>
        <v>320.88305552016521</v>
      </c>
      <c r="AX18" s="74">
        <f t="shared" si="13"/>
        <v>22958.356715373335</v>
      </c>
      <c r="AY18" s="98">
        <f t="shared" si="13"/>
        <v>23279.239770893499</v>
      </c>
      <c r="AZ18" s="168">
        <f t="shared" si="13"/>
        <v>2.6403063573147989</v>
      </c>
      <c r="BA18" s="72">
        <f t="shared" si="13"/>
        <v>3.0260085490340281</v>
      </c>
      <c r="BB18" s="72">
        <f t="shared" si="13"/>
        <v>-2.4230745128196345</v>
      </c>
      <c r="BC18" s="88">
        <f t="shared" si="13"/>
        <v>3.2432403935292484</v>
      </c>
      <c r="BD18" s="73">
        <f t="shared" si="13"/>
        <v>7.0000000000048886E-3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24.088063252656998</v>
      </c>
      <c r="BH18" s="88">
        <f t="shared" si="13"/>
        <v>24.102063252656997</v>
      </c>
      <c r="BI18" s="75">
        <f t="shared" si="13"/>
        <v>-15703.235453420282</v>
      </c>
      <c r="BJ18" s="168">
        <f t="shared" ref="BJ18" si="50">AN18-AS18-AZ18-BE18</f>
        <v>-1.3999999999734995E-2</v>
      </c>
      <c r="BK18" s="72">
        <f t="shared" ref="BK18" si="51">AO18-AT18-BA18-BF18</f>
        <v>-1.4000000000058292E-2</v>
      </c>
      <c r="BL18" s="72">
        <f t="shared" ref="BL18" si="52">AP18-AU18-BB18-BG18</f>
        <v>-1.3999999999988688E-2</v>
      </c>
      <c r="BM18" s="88">
        <f t="shared" ref="BM18" si="53">AQ18-AV18-BC18-BH18</f>
        <v>-4.2000000000122384E-2</v>
      </c>
      <c r="BN18" s="73">
        <f t="shared" ref="BN18" si="54">AR18-AW18-AX18-BD18-BI18</f>
        <v>-1.3999999997395207E-2</v>
      </c>
      <c r="BO18" s="167">
        <f t="shared" si="19"/>
        <v>208475.159696341</v>
      </c>
      <c r="BP18" s="74">
        <f t="shared" si="20"/>
        <v>106441.39774944591</v>
      </c>
      <c r="BQ18" s="74">
        <f t="shared" si="21"/>
        <v>89664.607340177987</v>
      </c>
      <c r="BR18" s="173">
        <f t="shared" si="22"/>
        <v>132072.53859100281</v>
      </c>
      <c r="BS18" s="75">
        <f t="shared" si="23"/>
        <v>10179.091594748372</v>
      </c>
      <c r="BT18" s="72"/>
      <c r="BU18" s="353">
        <f t="shared" si="25"/>
        <v>2030</v>
      </c>
      <c r="BV18" s="607">
        <f t="shared" si="26"/>
        <v>3475.6025350847463</v>
      </c>
      <c r="BW18" s="620">
        <f t="shared" si="27"/>
        <v>1061.3351379202445</v>
      </c>
      <c r="BX18" s="620">
        <f t="shared" si="28"/>
        <v>2150.0128117357499</v>
      </c>
      <c r="BY18" s="621">
        <f t="shared" si="29"/>
        <v>264.25458542875128</v>
      </c>
      <c r="BZ18" s="612">
        <f t="shared" si="30"/>
        <v>3437.6883469645181</v>
      </c>
      <c r="CA18" s="613">
        <f t="shared" si="31"/>
        <v>106473.84601712585</v>
      </c>
      <c r="CB18" s="607">
        <f t="shared" si="32"/>
        <v>3007.6057215530914</v>
      </c>
      <c r="CC18" s="620">
        <f t="shared" si="33"/>
        <v>790.28545475113356</v>
      </c>
      <c r="CD18" s="620">
        <f t="shared" si="34"/>
        <v>1958.5225601670822</v>
      </c>
      <c r="CE18" s="621">
        <f t="shared" si="42"/>
        <v>258.79770663487562</v>
      </c>
      <c r="CF18" s="612">
        <f t="shared" si="35"/>
        <v>2980.3024179069052</v>
      </c>
      <c r="CG18" s="613">
        <f t="shared" si="36"/>
        <v>132072.53859100281</v>
      </c>
      <c r="CH18" s="598">
        <f>CG18/CA18*100-100</f>
        <v>24.042235282605958</v>
      </c>
      <c r="CJ18" s="748">
        <f t="shared" si="37"/>
        <v>370060769.13734549</v>
      </c>
      <c r="CK18" s="749">
        <f t="shared" si="38"/>
        <v>150621750.41358224</v>
      </c>
      <c r="CL18" s="749">
        <f t="shared" si="38"/>
        <v>195503885.4290643</v>
      </c>
      <c r="CM18" s="749">
        <f t="shared" si="38"/>
        <v>23389088.81259387</v>
      </c>
      <c r="CN18" s="747"/>
      <c r="CO18" s="749">
        <f t="shared" si="39"/>
        <v>397222122.72634155</v>
      </c>
      <c r="CP18" s="749">
        <f t="shared" si="40"/>
        <v>164754886.38493803</v>
      </c>
      <c r="CQ18" s="749">
        <f t="shared" si="24"/>
        <v>208467878.82800752</v>
      </c>
      <c r="CR18" s="749">
        <f t="shared" si="24"/>
        <v>23204994.7459547</v>
      </c>
      <c r="CS18" s="747"/>
      <c r="CT18" s="750">
        <f t="shared" si="44"/>
        <v>7.3397008962372112E-2</v>
      </c>
      <c r="CU18" s="750">
        <f t="shared" si="41"/>
        <v>9.3831972690189502E-2</v>
      </c>
      <c r="CV18" s="750">
        <f t="shared" si="41"/>
        <v>6.6310668816078389E-2</v>
      </c>
      <c r="CW18" s="750">
        <f t="shared" si="41"/>
        <v>-7.8709379452202022E-3</v>
      </c>
      <c r="CX18" s="747"/>
    </row>
    <row r="19" spans="1:102">
      <c r="A19" s="347">
        <v>1</v>
      </c>
      <c r="B19" s="80">
        <v>2018</v>
      </c>
      <c r="C19" s="371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47">
        <v>1</v>
      </c>
      <c r="AL19" s="80">
        <v>2018</v>
      </c>
      <c r="AM19" s="80" t="s">
        <v>0</v>
      </c>
      <c r="AN19" s="70">
        <f>SIM_BASE!E6</f>
        <v>220.27144153331309</v>
      </c>
      <c r="AO19" s="70">
        <f>SIM_BASE!F6</f>
        <v>78.745003511188216</v>
      </c>
      <c r="AP19" s="70">
        <f>SIM_BASE!G6</f>
        <v>8.566474183914492</v>
      </c>
      <c r="AQ19" s="94">
        <f t="shared" ref="AQ19:AQ52" si="55">SUM(AN19:AP19)</f>
        <v>307.58291922841579</v>
      </c>
      <c r="AR19" s="71">
        <f>SIM_BASE!H6</f>
        <v>1561.993503385861</v>
      </c>
      <c r="AS19" s="70">
        <f>SIM_BASE!K6</f>
        <v>206.54423966882212</v>
      </c>
      <c r="AT19" s="70">
        <f>SIM_BASE!L6</f>
        <v>77.349103907877748</v>
      </c>
      <c r="AU19" s="70">
        <f>SIM_BASE!M6</f>
        <v>8.4297745249087086</v>
      </c>
      <c r="AV19" s="94">
        <f t="shared" ref="AV19:AV52" si="56">SUM(AS19:AU19)</f>
        <v>292.32311810160854</v>
      </c>
      <c r="AW19" s="70">
        <f>SIM_BASE!N6</f>
        <v>46.752826129324234</v>
      </c>
      <c r="AX19" s="70">
        <f>SIM_BASE!O6</f>
        <v>1761.229009976825</v>
      </c>
      <c r="AY19" s="97">
        <f t="shared" ref="AY19:AY52" si="57">SUM(AW19:AX19)</f>
        <v>1807.9818361061491</v>
      </c>
      <c r="AZ19" s="68">
        <f>SIM_BASE!V6</f>
        <v>13.72820186449094</v>
      </c>
      <c r="BA19" s="68">
        <f>SIM_BASE!W6</f>
        <v>1.3968996033104306</v>
      </c>
      <c r="BB19" s="68">
        <f>SIM_BASE!X6</f>
        <v>0.12829633921436923</v>
      </c>
      <c r="BC19" s="87">
        <f t="shared" ref="BC19:BC52" si="58">SUM(AZ19:BB19)</f>
        <v>15.253397807015739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1.0403319791417058E-2</v>
      </c>
      <c r="BH19" s="87">
        <f t="shared" ref="BH19:BH52" si="59">SUM(BE19:BG19)</f>
        <v>1.2403319791417058E-2</v>
      </c>
      <c r="BI19" s="71">
        <f>SIM_BASE!U6</f>
        <v>-245.98733272028821</v>
      </c>
      <c r="BJ19" s="68">
        <f t="shared" si="14"/>
        <v>-1.9999999999603659E-3</v>
      </c>
      <c r="BK19" s="68">
        <f t="shared" si="15"/>
        <v>-1.9999999999623643E-3</v>
      </c>
      <c r="BL19" s="68">
        <f t="shared" si="16"/>
        <v>-2.0000000000028814E-3</v>
      </c>
      <c r="BM19" s="87">
        <f t="shared" ref="BM19:BM52" si="60">SUM(BJ19:BL19)</f>
        <v>-5.9999999999256117E-3</v>
      </c>
      <c r="BN19" s="69">
        <f t="shared" si="18"/>
        <v>-1.9999999998958629E-3</v>
      </c>
      <c r="BO19" s="70">
        <f>SIM_BASE!AB6</f>
        <v>76994.711518395896</v>
      </c>
      <c r="BP19" s="70">
        <f>SIM_BASE!AC6</f>
        <v>79620.370744394677</v>
      </c>
      <c r="BQ19" s="70">
        <f>SIM_BASE!AD6</f>
        <v>82438.713899472641</v>
      </c>
      <c r="BR19" s="94">
        <f>SUMPRODUCT(BO19:BQ19,AS19:AU19)/AV19</f>
        <v>77846.454283391504</v>
      </c>
      <c r="BS19" s="71">
        <f>SIM_BASE!AE6</f>
        <v>7357.4300927930271</v>
      </c>
      <c r="BU19" s="58" t="s">
        <v>159</v>
      </c>
      <c r="BW19" s="238"/>
      <c r="CC19" s="238"/>
    </row>
    <row r="20" spans="1:102">
      <c r="A20" s="348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48">
        <v>1</v>
      </c>
      <c r="AL20" s="81">
        <v>2019</v>
      </c>
      <c r="AM20" s="81" t="s">
        <v>0</v>
      </c>
      <c r="AN20" s="74">
        <f>SIM_BASE!E13</f>
        <v>186.33400011616533</v>
      </c>
      <c r="AO20" s="74">
        <f>SIM_BASE!F13</f>
        <v>76.321946504523282</v>
      </c>
      <c r="AP20" s="74">
        <f>SIM_BASE!G13</f>
        <v>9.4161650088496032</v>
      </c>
      <c r="AQ20" s="95">
        <f t="shared" si="55"/>
        <v>272.0721116295382</v>
      </c>
      <c r="AR20" s="75">
        <f>SIM_BASE!H13</f>
        <v>1575.7649413833647</v>
      </c>
      <c r="AS20" s="74">
        <f>SIM_BASE!K13</f>
        <v>165.47749765330497</v>
      </c>
      <c r="AT20" s="74">
        <f>SIM_BASE!L13</f>
        <v>64.581964460040382</v>
      </c>
      <c r="AU20" s="74">
        <f>SIM_BASE!M13</f>
        <v>9.1628493827385604</v>
      </c>
      <c r="AV20" s="95">
        <f t="shared" si="56"/>
        <v>239.2223114960839</v>
      </c>
      <c r="AW20" s="74">
        <f>SIM_BASE!N13</f>
        <v>48.812905237149181</v>
      </c>
      <c r="AX20" s="74">
        <f>SIM_BASE!O13</f>
        <v>1629.2170124773006</v>
      </c>
      <c r="AY20" s="98">
        <f t="shared" si="57"/>
        <v>1678.0299177144498</v>
      </c>
      <c r="AZ20" s="72">
        <f>SIM_BASE!V13</f>
        <v>20.857502462860293</v>
      </c>
      <c r="BA20" s="72">
        <f>SIM_BASE!W13</f>
        <v>11.740982044482893</v>
      </c>
      <c r="BB20" s="72">
        <f>SIM_BASE!X13</f>
        <v>0.2543156261110418</v>
      </c>
      <c r="BC20" s="88">
        <f t="shared" si="58"/>
        <v>32.852800133454231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9"/>
        <v>3.0000000000000001E-3</v>
      </c>
      <c r="BI20" s="75">
        <f>SIM_BASE!U13</f>
        <v>-102.26397633108562</v>
      </c>
      <c r="BJ20" s="72">
        <f t="shared" si="14"/>
        <v>-1.9999999999301679E-3</v>
      </c>
      <c r="BK20" s="72">
        <f t="shared" si="15"/>
        <v>-1.9999999999923404E-3</v>
      </c>
      <c r="BL20" s="72">
        <f t="shared" si="16"/>
        <v>-1.9999999999990572E-3</v>
      </c>
      <c r="BM20" s="88">
        <f t="shared" si="60"/>
        <v>-5.9999999999215655E-3</v>
      </c>
      <c r="BN20" s="73">
        <f t="shared" si="18"/>
        <v>-1.9999999994979589E-3</v>
      </c>
      <c r="BO20" s="74">
        <f>SIM_BASE!AB13</f>
        <v>85417.93795449895</v>
      </c>
      <c r="BP20" s="74">
        <f>SIM_BASE!AC13</f>
        <v>84104.851356254134</v>
      </c>
      <c r="BQ20" s="74">
        <f>SIM_BASE!AD13</f>
        <v>92682.996853744698</v>
      </c>
      <c r="BR20" s="95">
        <f t="shared" ref="BR20:BR52" si="61">SUMPRODUCT(BO20:BQ20,AS20:AU20)/AV20</f>
        <v>85341.719848184963</v>
      </c>
      <c r="BS20" s="75">
        <f>SIM_BASE!AE13</f>
        <v>7658.4693905220738</v>
      </c>
      <c r="BU20" s="58" t="s">
        <v>271</v>
      </c>
    </row>
    <row r="21" spans="1:102">
      <c r="A21" s="348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48">
        <v>1</v>
      </c>
      <c r="AL21" s="81">
        <v>2020</v>
      </c>
      <c r="AM21" s="81" t="s">
        <v>0</v>
      </c>
      <c r="AN21" s="74">
        <f>SIM_BASE!E20</f>
        <v>238.56421983086074</v>
      </c>
      <c r="AO21" s="74">
        <f>SIM_BASE!F20</f>
        <v>87.320234430687023</v>
      </c>
      <c r="AP21" s="74">
        <f>SIM_BASE!G20</f>
        <v>9.3780202482736801</v>
      </c>
      <c r="AQ21" s="95">
        <f t="shared" si="55"/>
        <v>335.26247450982146</v>
      </c>
      <c r="AR21" s="75">
        <f>SIM_BASE!H20</f>
        <v>1647.4247272470202</v>
      </c>
      <c r="AS21" s="74">
        <f>SIM_BASE!K20</f>
        <v>165.48338606607976</v>
      </c>
      <c r="AT21" s="74">
        <f>SIM_BASE!L20</f>
        <v>76.046232295765208</v>
      </c>
      <c r="AU21" s="74">
        <f>SIM_BASE!M20</f>
        <v>9.3623690953886918</v>
      </c>
      <c r="AV21" s="95">
        <f t="shared" si="56"/>
        <v>250.89198745723365</v>
      </c>
      <c r="AW21" s="74">
        <f>SIM_BASE!N20</f>
        <v>60.366087848058342</v>
      </c>
      <c r="AX21" s="74">
        <f>SIM_BASE!O20</f>
        <v>2179.1709173776317</v>
      </c>
      <c r="AY21" s="98">
        <f t="shared" si="57"/>
        <v>2239.5370052256899</v>
      </c>
      <c r="AZ21" s="72">
        <f>SIM_BASE!V20</f>
        <v>73.081833764780981</v>
      </c>
      <c r="BA21" s="72">
        <f>SIM_BASE!W20</f>
        <v>11.275002134921811</v>
      </c>
      <c r="BB21" s="72">
        <f>SIM_BASE!X20</f>
        <v>1.6651152884987447E-2</v>
      </c>
      <c r="BC21" s="88">
        <f t="shared" si="58"/>
        <v>84.373487052587777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9"/>
        <v>3.0000000000000001E-3</v>
      </c>
      <c r="BI21" s="75">
        <f>SIM_BASE!U20</f>
        <v>-592.11127797867027</v>
      </c>
      <c r="BJ21" s="72">
        <f t="shared" si="14"/>
        <v>-2.0000000000047749E-3</v>
      </c>
      <c r="BK21" s="72">
        <f t="shared" si="15"/>
        <v>-1.9999999999958931E-3</v>
      </c>
      <c r="BL21" s="72">
        <f t="shared" si="16"/>
        <v>-1.9999999999991405E-3</v>
      </c>
      <c r="BM21" s="88">
        <f t="shared" si="60"/>
        <v>-5.9999999999998084E-3</v>
      </c>
      <c r="BN21" s="73">
        <f t="shared" si="18"/>
        <v>-1.9999999996116458E-3</v>
      </c>
      <c r="BO21" s="74">
        <f>SIM_BASE!AB20</f>
        <v>129239.17169654203</v>
      </c>
      <c r="BP21" s="74">
        <f>SIM_BASE!AC20</f>
        <v>102920.07246398565</v>
      </c>
      <c r="BQ21" s="74">
        <f>SIM_BASE!AD20</f>
        <v>92628.07551331073</v>
      </c>
      <c r="BR21" s="95">
        <f t="shared" si="61"/>
        <v>119895.56948242965</v>
      </c>
      <c r="BS21" s="75">
        <f>SIM_BASE!AE20</f>
        <v>7876.8676552294964</v>
      </c>
      <c r="BU21" s="58" t="s">
        <v>272</v>
      </c>
    </row>
    <row r="22" spans="1:102">
      <c r="A22" s="348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48">
        <v>1</v>
      </c>
      <c r="AL22" s="81">
        <v>2021</v>
      </c>
      <c r="AM22" s="81" t="s">
        <v>0</v>
      </c>
      <c r="AN22" s="74">
        <f>SIM_BASE!E27</f>
        <v>245.98371454400711</v>
      </c>
      <c r="AO22" s="74">
        <f>SIM_BASE!F27</f>
        <v>91.494260652669553</v>
      </c>
      <c r="AP22" s="74">
        <f>SIM_BASE!G27</f>
        <v>9.9577774093088909</v>
      </c>
      <c r="AQ22" s="95">
        <f t="shared" si="55"/>
        <v>347.43575260598556</v>
      </c>
      <c r="AR22" s="75">
        <f>SIM_BASE!H27</f>
        <v>1709.8366753428684</v>
      </c>
      <c r="AS22" s="74">
        <f>SIM_BASE!K27</f>
        <v>169.97277186945331</v>
      </c>
      <c r="AT22" s="74">
        <f>SIM_BASE!L27</f>
        <v>79.730490553682117</v>
      </c>
      <c r="AU22" s="74">
        <f>SIM_BASE!M27</f>
        <v>9.9054700490661673</v>
      </c>
      <c r="AV22" s="95">
        <f t="shared" si="56"/>
        <v>259.60873247220161</v>
      </c>
      <c r="AW22" s="74">
        <f>SIM_BASE!N27</f>
        <v>61.145209362201392</v>
      </c>
      <c r="AX22" s="74">
        <f>SIM_BASE!O27</f>
        <v>2281.5608222365422</v>
      </c>
      <c r="AY22" s="98">
        <f t="shared" si="57"/>
        <v>2342.7060315987437</v>
      </c>
      <c r="AZ22" s="72">
        <f>SIM_BASE!V27</f>
        <v>76.011942674553865</v>
      </c>
      <c r="BA22" s="72">
        <f>SIM_BASE!W27</f>
        <v>11.764770098987425</v>
      </c>
      <c r="BB22" s="72">
        <f>SIM_BASE!X27</f>
        <v>5.3307360242721126E-2</v>
      </c>
      <c r="BC22" s="88">
        <f t="shared" si="58"/>
        <v>87.830020133784018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9"/>
        <v>3.0000000000000001E-3</v>
      </c>
      <c r="BI22" s="75">
        <f>SIM_BASE!U27</f>
        <v>-632.86835625587537</v>
      </c>
      <c r="BJ22" s="72">
        <f t="shared" si="14"/>
        <v>-2.0000000000616183E-3</v>
      </c>
      <c r="BK22" s="72">
        <f t="shared" si="15"/>
        <v>-1.9999999999887877E-3</v>
      </c>
      <c r="BL22" s="72">
        <f t="shared" si="16"/>
        <v>-1.9999999999975931E-3</v>
      </c>
      <c r="BM22" s="88">
        <f t="shared" si="60"/>
        <v>-6.0000000000479991E-3</v>
      </c>
      <c r="BN22" s="73">
        <f t="shared" si="18"/>
        <v>-1.9999999997253326E-3</v>
      </c>
      <c r="BO22" s="74">
        <f>SIM_BASE!AB27</f>
        <v>136698.74209447537</v>
      </c>
      <c r="BP22" s="74">
        <f>SIM_BASE!AC27</f>
        <v>106437.51910141602</v>
      </c>
      <c r="BQ22" s="74">
        <f>SIM_BASE!AD27</f>
        <v>95261.3104785506</v>
      </c>
      <c r="BR22" s="95">
        <f t="shared" si="61"/>
        <v>125823.91764273985</v>
      </c>
      <c r="BS22" s="75">
        <f>SIM_BASE!AE27</f>
        <v>8132.8808152698675</v>
      </c>
    </row>
    <row r="23" spans="1:102">
      <c r="A23" s="348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48">
        <v>1</v>
      </c>
      <c r="AL23" s="81">
        <v>2022</v>
      </c>
      <c r="AM23" s="81" t="s">
        <v>0</v>
      </c>
      <c r="AN23" s="74">
        <f>SIM_BASE!E34</f>
        <v>253.56589063170625</v>
      </c>
      <c r="AO23" s="74">
        <f>SIM_BASE!F34</f>
        <v>96.460200762577458</v>
      </c>
      <c r="AP23" s="74">
        <f>SIM_BASE!G34</f>
        <v>10.659276005324928</v>
      </c>
      <c r="AQ23" s="95">
        <f t="shared" si="55"/>
        <v>360.68536739960865</v>
      </c>
      <c r="AR23" s="75">
        <f>SIM_BASE!H34</f>
        <v>1781.7477501604626</v>
      </c>
      <c r="AS23" s="74">
        <f>SIM_BASE!K34</f>
        <v>174.59566770358572</v>
      </c>
      <c r="AT23" s="74">
        <f>SIM_BASE!L34</f>
        <v>83.93735732651669</v>
      </c>
      <c r="AU23" s="74">
        <f>SIM_BASE!M34</f>
        <v>10.563691109925736</v>
      </c>
      <c r="AV23" s="95">
        <f t="shared" si="56"/>
        <v>269.09671614002815</v>
      </c>
      <c r="AW23" s="74">
        <f>SIM_BASE!N34</f>
        <v>61.893050768850571</v>
      </c>
      <c r="AX23" s="74">
        <f>SIM_BASE!O34</f>
        <v>2386.9963476708326</v>
      </c>
      <c r="AY23" s="98">
        <f t="shared" si="57"/>
        <v>2448.8893984396832</v>
      </c>
      <c r="AZ23" s="72">
        <f>SIM_BASE!V34</f>
        <v>78.97122292812054</v>
      </c>
      <c r="BA23" s="72">
        <f>SIM_BASE!W34</f>
        <v>12.523843436060769</v>
      </c>
      <c r="BB23" s="72">
        <f>SIM_BASE!X34</f>
        <v>9.6584895399193071E-2</v>
      </c>
      <c r="BC23" s="88">
        <f t="shared" si="58"/>
        <v>91.591651259580502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9"/>
        <v>3.0000000000000001E-3</v>
      </c>
      <c r="BI23" s="75">
        <f>SIM_BASE!U34</f>
        <v>-667.1406482792205</v>
      </c>
      <c r="BJ23" s="72">
        <f t="shared" si="14"/>
        <v>-2.0000000000047749E-3</v>
      </c>
      <c r="BK23" s="72">
        <f t="shared" si="15"/>
        <v>-2.0000000000012222E-3</v>
      </c>
      <c r="BL23" s="72">
        <f t="shared" si="16"/>
        <v>-2.0000000000012777E-3</v>
      </c>
      <c r="BM23" s="88">
        <f t="shared" si="60"/>
        <v>-6.0000000000072747E-3</v>
      </c>
      <c r="BN23" s="73">
        <f t="shared" si="18"/>
        <v>-2.0000000000663931E-3</v>
      </c>
      <c r="BO23" s="74">
        <f>SIM_BASE!AB34</f>
        <v>144365.81745418167</v>
      </c>
      <c r="BP23" s="74">
        <f>SIM_BASE!AC34</f>
        <v>109353.68018037901</v>
      </c>
      <c r="BQ23" s="74">
        <f>SIM_BASE!AD34</f>
        <v>97051.517991848305</v>
      </c>
      <c r="BR23" s="95">
        <f t="shared" si="61"/>
        <v>131587.36377758795</v>
      </c>
      <c r="BS23" s="75">
        <f>SIM_BASE!AE34</f>
        <v>8396.6345563220602</v>
      </c>
    </row>
    <row r="24" spans="1:102">
      <c r="A24" s="348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48">
        <v>1</v>
      </c>
      <c r="AL24" s="81">
        <v>2023</v>
      </c>
      <c r="AM24" s="81" t="s">
        <v>0</v>
      </c>
      <c r="AN24" s="74">
        <f>SIM_BASE!E41</f>
        <v>261.21649759546187</v>
      </c>
      <c r="AO24" s="74">
        <f>SIM_BASE!F41</f>
        <v>102.26019276281261</v>
      </c>
      <c r="AP24" s="74">
        <f>SIM_BASE!G41</f>
        <v>11.501463516350951</v>
      </c>
      <c r="AQ24" s="95">
        <f t="shared" si="55"/>
        <v>374.97815387462543</v>
      </c>
      <c r="AR24" s="75">
        <f>SIM_BASE!H41</f>
        <v>1862.543052880601</v>
      </c>
      <c r="AS24" s="74">
        <f>SIM_BASE!K41</f>
        <v>179.44894160779648</v>
      </c>
      <c r="AT24" s="74">
        <f>SIM_BASE!L41</f>
        <v>88.801466815142277</v>
      </c>
      <c r="AU24" s="74">
        <f>SIM_BASE!M41</f>
        <v>11.358540456659178</v>
      </c>
      <c r="AV24" s="95">
        <f t="shared" si="56"/>
        <v>279.60894887959796</v>
      </c>
      <c r="AW24" s="74">
        <f>SIM_BASE!N41</f>
        <v>62.583136016971523</v>
      </c>
      <c r="AX24" s="74">
        <f>SIM_BASE!O41</f>
        <v>2495.6181631260756</v>
      </c>
      <c r="AY24" s="98">
        <f t="shared" si="57"/>
        <v>2558.201299143047</v>
      </c>
      <c r="AZ24" s="72">
        <f>SIM_BASE!V41</f>
        <v>81.768555987665394</v>
      </c>
      <c r="BA24" s="72">
        <f>SIM_BASE!W41</f>
        <v>13.459725947670339</v>
      </c>
      <c r="BB24" s="72">
        <f>SIM_BASE!X41</f>
        <v>0.14392305969176997</v>
      </c>
      <c r="BC24" s="88">
        <f t="shared" si="58"/>
        <v>95.372204995027502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9"/>
        <v>3.0000000000000001E-3</v>
      </c>
      <c r="BI24" s="75">
        <f>SIM_BASE!U41</f>
        <v>-695.65724626244605</v>
      </c>
      <c r="BJ24" s="72">
        <f t="shared" si="14"/>
        <v>-2.0000000000047749E-3</v>
      </c>
      <c r="BK24" s="72">
        <f t="shared" si="15"/>
        <v>-2.0000000000083276E-3</v>
      </c>
      <c r="BL24" s="72">
        <f t="shared" si="16"/>
        <v>-1.9999999999969756E-3</v>
      </c>
      <c r="BM24" s="88">
        <f t="shared" si="60"/>
        <v>-6.000000000010078E-3</v>
      </c>
      <c r="BN24" s="73">
        <f t="shared" si="18"/>
        <v>-2.00000000018008E-3</v>
      </c>
      <c r="BO24" s="74">
        <f>SIM_BASE!AB41</f>
        <v>152114.77381753191</v>
      </c>
      <c r="BP24" s="74">
        <f>SIM_BASE!AC41</f>
        <v>111510.34258917486</v>
      </c>
      <c r="BQ24" s="74">
        <f>SIM_BASE!AD41</f>
        <v>97933.510096068829</v>
      </c>
      <c r="BR24" s="95">
        <f t="shared" si="61"/>
        <v>137018.14280783021</v>
      </c>
      <c r="BS24" s="75">
        <f>SIM_BASE!AE41</f>
        <v>8655.2644089301339</v>
      </c>
    </row>
    <row r="25" spans="1:102">
      <c r="A25" s="348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48">
        <v>1</v>
      </c>
      <c r="AL25" s="81">
        <v>2024</v>
      </c>
      <c r="AM25" s="81" t="s">
        <v>0</v>
      </c>
      <c r="AN25" s="74">
        <f>SIM_BASE!E48</f>
        <v>268.85463624399739</v>
      </c>
      <c r="AO25" s="74">
        <f>SIM_BASE!F48</f>
        <v>109.01159745343746</v>
      </c>
      <c r="AP25" s="74">
        <f>SIM_BASE!G48</f>
        <v>12.509180041192872</v>
      </c>
      <c r="AQ25" s="95">
        <f t="shared" si="55"/>
        <v>390.37541373862769</v>
      </c>
      <c r="AR25" s="75">
        <f>SIM_BASE!H48</f>
        <v>1955.0257895378859</v>
      </c>
      <c r="AS25" s="74">
        <f>SIM_BASE!K48</f>
        <v>184.58602288997034</v>
      </c>
      <c r="AT25" s="74">
        <f>SIM_BASE!L48</f>
        <v>94.401391357214507</v>
      </c>
      <c r="AU25" s="74">
        <f>SIM_BASE!M48</f>
        <v>12.313020275101275</v>
      </c>
      <c r="AV25" s="95">
        <f t="shared" si="56"/>
        <v>291.30043452228614</v>
      </c>
      <c r="AW25" s="74">
        <f>SIM_BASE!N48</f>
        <v>62.968823218506017</v>
      </c>
      <c r="AX25" s="74">
        <f>SIM_BASE!O48</f>
        <v>2605.4469765520371</v>
      </c>
      <c r="AY25" s="98">
        <f t="shared" si="57"/>
        <v>2668.4157997705429</v>
      </c>
      <c r="AZ25" s="72">
        <f>SIM_BASE!V48</f>
        <v>84.269613354027001</v>
      </c>
      <c r="BA25" s="72">
        <f>SIM_BASE!W48</f>
        <v>14.611206096222928</v>
      </c>
      <c r="BB25" s="72">
        <f>SIM_BASE!X48</f>
        <v>0.19715976609159697</v>
      </c>
      <c r="BC25" s="88">
        <f t="shared" si="58"/>
        <v>99.077979216341532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9"/>
        <v>3.0000000000000001E-3</v>
      </c>
      <c r="BI25" s="75">
        <f>SIM_BASE!U48</f>
        <v>-713.38901023265703</v>
      </c>
      <c r="BJ25" s="72">
        <f t="shared" si="14"/>
        <v>-1.9999999999479314E-3</v>
      </c>
      <c r="BK25" s="72">
        <f t="shared" si="15"/>
        <v>-1.9999999999745768E-3</v>
      </c>
      <c r="BL25" s="72">
        <f t="shared" si="16"/>
        <v>-1.9999999999999454E-3</v>
      </c>
      <c r="BM25" s="88">
        <f t="shared" si="60"/>
        <v>-5.9999999999224536E-3</v>
      </c>
      <c r="BN25" s="73">
        <f t="shared" si="18"/>
        <v>-2.00000000018008E-3</v>
      </c>
      <c r="BO25" s="74">
        <f>SIM_BASE!AB48</f>
        <v>159849.92734572175</v>
      </c>
      <c r="BP25" s="74">
        <f>SIM_BASE!AC48</f>
        <v>112860.13234165555</v>
      </c>
      <c r="BQ25" s="74">
        <f>SIM_BASE!AD48</f>
        <v>97877.90170028148</v>
      </c>
      <c r="BR25" s="95">
        <f t="shared" si="61"/>
        <v>142002.49486673658</v>
      </c>
      <c r="BS25" s="75">
        <f>SIM_BASE!AE48</f>
        <v>8923.7882585730258</v>
      </c>
    </row>
    <row r="26" spans="1:102">
      <c r="A26" s="348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48">
        <v>1</v>
      </c>
      <c r="AL26" s="81">
        <v>2025</v>
      </c>
      <c r="AM26" s="81" t="s">
        <v>0</v>
      </c>
      <c r="AN26" s="74">
        <f>SIM_BASE!E55</f>
        <v>276.53990792409729</v>
      </c>
      <c r="AO26" s="74">
        <f>SIM_BASE!F55</f>
        <v>116.80012540334195</v>
      </c>
      <c r="AP26" s="74">
        <f>SIM_BASE!G55</f>
        <v>13.713004895194187</v>
      </c>
      <c r="AQ26" s="95">
        <f t="shared" si="55"/>
        <v>407.0530382226334</v>
      </c>
      <c r="AR26" s="75">
        <f>SIM_BASE!H55</f>
        <v>2060.6088078162929</v>
      </c>
      <c r="AS26" s="74">
        <f>SIM_BASE!K55</f>
        <v>189.96776281661647</v>
      </c>
      <c r="AT26" s="74">
        <f>SIM_BASE!L55</f>
        <v>100.8965859493933</v>
      </c>
      <c r="AU26" s="74">
        <f>SIM_BASE!M55</f>
        <v>13.45855618831067</v>
      </c>
      <c r="AV26" s="95">
        <f t="shared" si="56"/>
        <v>304.32290495432045</v>
      </c>
      <c r="AW26" s="74">
        <f>SIM_BASE!N55</f>
        <v>63.047687660462501</v>
      </c>
      <c r="AX26" s="74">
        <f>SIM_BASE!O55</f>
        <v>2717.3774290275333</v>
      </c>
      <c r="AY26" s="98">
        <f t="shared" si="57"/>
        <v>2780.4251166879958</v>
      </c>
      <c r="AZ26" s="72">
        <f>SIM_BASE!V55</f>
        <v>86.573145107480713</v>
      </c>
      <c r="BA26" s="72">
        <f>SIM_BASE!W55</f>
        <v>15.904539453948635</v>
      </c>
      <c r="BB26" s="72">
        <f>SIM_BASE!X55</f>
        <v>0.2554487068835159</v>
      </c>
      <c r="BC26" s="88">
        <f t="shared" si="58"/>
        <v>102.73313326831286</v>
      </c>
      <c r="BD26" s="73">
        <f>SIM_BASE!Y55</f>
        <v>1E-3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9"/>
        <v>3.0000000000000001E-3</v>
      </c>
      <c r="BI26" s="75">
        <f>SIM_BASE!U55</f>
        <v>-719.81530887170265</v>
      </c>
      <c r="BJ26" s="72">
        <f t="shared" si="14"/>
        <v>-1.999999999891088E-3</v>
      </c>
      <c r="BK26" s="72">
        <f t="shared" si="15"/>
        <v>-1.9999999999816822E-3</v>
      </c>
      <c r="BL26" s="72">
        <f t="shared" si="16"/>
        <v>-1.9999999999988352E-3</v>
      </c>
      <c r="BM26" s="88">
        <f t="shared" si="60"/>
        <v>-5.9999999998716054E-3</v>
      </c>
      <c r="BN26" s="73">
        <f t="shared" si="18"/>
        <v>-2.00000000018008E-3</v>
      </c>
      <c r="BO26" s="74">
        <f>SIM_BASE!AB55</f>
        <v>167598.53683677592</v>
      </c>
      <c r="BP26" s="74">
        <f>SIM_BASE!AC55</f>
        <v>113319.33871763825</v>
      </c>
      <c r="BQ26" s="74">
        <f>SIM_BASE!AD55</f>
        <v>96902.871598351543</v>
      </c>
      <c r="BR26" s="95">
        <f t="shared" si="61"/>
        <v>146476.08020756516</v>
      </c>
      <c r="BS26" s="75">
        <f>SIM_BASE!AE55</f>
        <v>9202.5940430052397</v>
      </c>
    </row>
    <row r="27" spans="1:102">
      <c r="A27" s="348">
        <v>1</v>
      </c>
      <c r="B27" s="81">
        <v>2026</v>
      </c>
      <c r="C27" s="84" t="s">
        <v>0</v>
      </c>
      <c r="D27" s="167">
        <v>282.33049302876901</v>
      </c>
      <c r="E27" s="74">
        <v>122.94468350963173</v>
      </c>
      <c r="F27" s="74">
        <v>15.071248980469832</v>
      </c>
      <c r="G27" s="95">
        <v>420.34642551887055</v>
      </c>
      <c r="H27" s="75">
        <v>2136.4490111092327</v>
      </c>
      <c r="I27" s="74">
        <v>255.27086213349574</v>
      </c>
      <c r="J27" s="74">
        <v>119.0348316250091</v>
      </c>
      <c r="K27" s="74">
        <v>14.756333147498209</v>
      </c>
      <c r="L27" s="95">
        <v>389.06202690600304</v>
      </c>
      <c r="M27" s="74">
        <v>42.698801723526117</v>
      </c>
      <c r="N27" s="74">
        <v>2537.3873695317752</v>
      </c>
      <c r="O27" s="98">
        <v>2580.0861712553015</v>
      </c>
      <c r="P27" s="72">
        <v>27.060630895273199</v>
      </c>
      <c r="Q27" s="72">
        <v>3.9108518846225997</v>
      </c>
      <c r="R27" s="72">
        <v>0.3159158329716219</v>
      </c>
      <c r="S27" s="88">
        <v>31.28739861286742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-443.63616014606828</v>
      </c>
      <c r="Z27" s="72">
        <v>-1.9999999999266152E-3</v>
      </c>
      <c r="AA27" s="72">
        <v>-1.9999999999741327E-3</v>
      </c>
      <c r="AB27" s="72">
        <v>-1.9999999999986131E-3</v>
      </c>
      <c r="AC27" s="88">
        <v>-5.999999999899361E-3</v>
      </c>
      <c r="AD27" s="73">
        <v>-2.0000000004074536E-3</v>
      </c>
      <c r="AE27" s="74">
        <v>118829.01926784166</v>
      </c>
      <c r="AF27" s="74">
        <v>95869.142899326398</v>
      </c>
      <c r="AG27" s="74">
        <v>90816.991400602885</v>
      </c>
      <c r="AH27" s="95">
        <v>110741.92873879505</v>
      </c>
      <c r="AI27" s="75">
        <v>9480.2244107647239</v>
      </c>
      <c r="AK27" s="348">
        <v>1</v>
      </c>
      <c r="AL27" s="81">
        <v>2026</v>
      </c>
      <c r="AM27" s="81" t="s">
        <v>0</v>
      </c>
      <c r="AN27" s="74">
        <f>SIM_BASE!E62</f>
        <v>284.42232554867485</v>
      </c>
      <c r="AO27" s="74">
        <f>SIM_BASE!F62</f>
        <v>125.77573776670219</v>
      </c>
      <c r="AP27" s="74">
        <f>SIM_BASE!G62</f>
        <v>15.153185423764825</v>
      </c>
      <c r="AQ27" s="95">
        <f t="shared" si="55"/>
        <v>425.35124873914185</v>
      </c>
      <c r="AR27" s="75">
        <f>SIM_BASE!H62</f>
        <v>2179.3862602561953</v>
      </c>
      <c r="AS27" s="74">
        <f>SIM_BASE!K62</f>
        <v>195.49008936220258</v>
      </c>
      <c r="AT27" s="74">
        <f>SIM_BASE!L62</f>
        <v>108.43253813021616</v>
      </c>
      <c r="AU27" s="74">
        <f>SIM_BASE!M62</f>
        <v>14.831669253308389</v>
      </c>
      <c r="AV27" s="95">
        <f t="shared" si="56"/>
        <v>318.75429674572717</v>
      </c>
      <c r="AW27" s="74">
        <f>SIM_BASE!N62</f>
        <v>62.692599837825199</v>
      </c>
      <c r="AX27" s="74">
        <f>SIM_BASE!O62</f>
        <v>2833.6557496495861</v>
      </c>
      <c r="AY27" s="98">
        <f t="shared" si="57"/>
        <v>2896.3483494874113</v>
      </c>
      <c r="AZ27" s="72">
        <f>SIM_BASE!V62</f>
        <v>88.933236186472229</v>
      </c>
      <c r="BA27" s="72">
        <f>SIM_BASE!W62</f>
        <v>17.344199636486032</v>
      </c>
      <c r="BB27" s="72">
        <f>SIM_BASE!X62</f>
        <v>0.32251617045642939</v>
      </c>
      <c r="BC27" s="88">
        <f t="shared" si="58"/>
        <v>106.59995199341469</v>
      </c>
      <c r="BD27" s="73">
        <f>SIM_BASE!Y62</f>
        <v>1E-3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9"/>
        <v>3.0000000000000001E-3</v>
      </c>
      <c r="BI27" s="75">
        <f>SIM_BASE!U62</f>
        <v>-716.96108923121574</v>
      </c>
      <c r="BJ27" s="72">
        <f t="shared" si="14"/>
        <v>-1.9999999999621423E-3</v>
      </c>
      <c r="BK27" s="72">
        <f t="shared" si="15"/>
        <v>-1.9999999999976694E-3</v>
      </c>
      <c r="BL27" s="72">
        <f t="shared" si="16"/>
        <v>-1.9999999999938392E-3</v>
      </c>
      <c r="BM27" s="88">
        <f t="shared" si="60"/>
        <v>-5.9999999999536509E-3</v>
      </c>
      <c r="BN27" s="73">
        <f t="shared" si="18"/>
        <v>-2.00000000018008E-3</v>
      </c>
      <c r="BO27" s="74">
        <f>SIM_BASE!AB62</f>
        <v>175469.27286084209</v>
      </c>
      <c r="BP27" s="74">
        <f>SIM_BASE!AC62</f>
        <v>112849.02545196957</v>
      </c>
      <c r="BQ27" s="74">
        <f>SIM_BASE!AD62</f>
        <v>95025.07763343137</v>
      </c>
      <c r="BR27" s="95">
        <f t="shared" si="61"/>
        <v>150424.29576296182</v>
      </c>
      <c r="BS27" s="75">
        <f>SIM_BASE!AE62</f>
        <v>9480.1596718656438</v>
      </c>
    </row>
    <row r="28" spans="1:102">
      <c r="A28" s="348">
        <v>1</v>
      </c>
      <c r="B28" s="81">
        <v>2027</v>
      </c>
      <c r="C28" s="84" t="s">
        <v>0</v>
      </c>
      <c r="D28" s="167">
        <v>291.201085628942</v>
      </c>
      <c r="E28" s="74">
        <v>133.11829904583095</v>
      </c>
      <c r="F28" s="74">
        <v>16.852818280984376</v>
      </c>
      <c r="G28" s="95">
        <v>441.17220295575731</v>
      </c>
      <c r="H28" s="75">
        <v>2271.6168474850833</v>
      </c>
      <c r="I28" s="74">
        <v>261.92555926526035</v>
      </c>
      <c r="J28" s="74">
        <v>128.57577918287646</v>
      </c>
      <c r="K28" s="74">
        <v>16.326842434526959</v>
      </c>
      <c r="L28" s="95">
        <v>406.82818088266379</v>
      </c>
      <c r="M28" s="74">
        <v>41.775775589489484</v>
      </c>
      <c r="N28" s="74">
        <v>2659.9586513249355</v>
      </c>
      <c r="O28" s="98">
        <v>2701.7344269144251</v>
      </c>
      <c r="P28" s="72">
        <v>29.276526363681665</v>
      </c>
      <c r="Q28" s="72">
        <v>4.5435198629544411</v>
      </c>
      <c r="R28" s="72">
        <v>0.52697584645741324</v>
      </c>
      <c r="S28" s="88">
        <v>34.34702207309352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-430.11657942934141</v>
      </c>
      <c r="Z28" s="72">
        <v>-2.000000000015433E-3</v>
      </c>
      <c r="AA28" s="72">
        <v>-1.9999999999488196E-3</v>
      </c>
      <c r="AB28" s="72">
        <v>-1.9999999999963372E-3</v>
      </c>
      <c r="AC28" s="88">
        <v>-5.9999999999605898E-3</v>
      </c>
      <c r="AD28" s="73">
        <v>-2.0000000002937668E-3</v>
      </c>
      <c r="AE28" s="74">
        <v>124987.58698953442</v>
      </c>
      <c r="AF28" s="74">
        <v>94858.687775066617</v>
      </c>
      <c r="AG28" s="74">
        <v>88673.421202382247</v>
      </c>
      <c r="AH28" s="95">
        <v>114008.15497064248</v>
      </c>
      <c r="AI28" s="75">
        <v>9767.9571227632841</v>
      </c>
      <c r="AK28" s="348">
        <v>1</v>
      </c>
      <c r="AL28" s="81">
        <v>2027</v>
      </c>
      <c r="AM28" s="81" t="s">
        <v>0</v>
      </c>
      <c r="AN28" s="74">
        <f>SIM_BASE!E69</f>
        <v>292.49568328960504</v>
      </c>
      <c r="AO28" s="74">
        <f>SIM_BASE!F69</f>
        <v>136.1959970018155</v>
      </c>
      <c r="AP28" s="74">
        <f>SIM_BASE!G69</f>
        <v>16.877104230875574</v>
      </c>
      <c r="AQ28" s="95">
        <f t="shared" si="55"/>
        <v>445.56878452229614</v>
      </c>
      <c r="AR28" s="75">
        <f>SIM_BASE!H69</f>
        <v>2314.5665149671404</v>
      </c>
      <c r="AS28" s="74">
        <f>SIM_BASE!K69</f>
        <v>201.15313895462276</v>
      </c>
      <c r="AT28" s="74">
        <f>SIM_BASE!L69</f>
        <v>117.09616736173538</v>
      </c>
      <c r="AU28" s="74">
        <f>SIM_BASE!M69</f>
        <v>16.480456125777668</v>
      </c>
      <c r="AV28" s="95">
        <f t="shared" si="56"/>
        <v>334.72976244213578</v>
      </c>
      <c r="AW28" s="74">
        <f>SIM_BASE!N69</f>
        <v>61.809316962307463</v>
      </c>
      <c r="AX28" s="74">
        <f>SIM_BASE!O69</f>
        <v>2954.6008916044866</v>
      </c>
      <c r="AY28" s="98">
        <f t="shared" si="57"/>
        <v>3016.4102085667942</v>
      </c>
      <c r="AZ28" s="72">
        <f>SIM_BASE!V69</f>
        <v>91.343544334982269</v>
      </c>
      <c r="BA28" s="72">
        <f>SIM_BASE!W69</f>
        <v>19.100829640080089</v>
      </c>
      <c r="BB28" s="72">
        <f>SIM_BASE!X69</f>
        <v>0.39764810509790199</v>
      </c>
      <c r="BC28" s="88">
        <f t="shared" si="58"/>
        <v>110.84202208016026</v>
      </c>
      <c r="BD28" s="73">
        <f>SIM_BASE!Y69</f>
        <v>1E-3</v>
      </c>
      <c r="BE28" s="72">
        <f>SIM_BASE!R69</f>
        <v>1E-3</v>
      </c>
      <c r="BF28" s="72">
        <f>SIM_BASE!S69</f>
        <v>1E-3</v>
      </c>
      <c r="BG28" s="72">
        <f>SIM_BASE!T69</f>
        <v>1E-3</v>
      </c>
      <c r="BH28" s="88">
        <f t="shared" si="59"/>
        <v>3.0000000000000001E-3</v>
      </c>
      <c r="BI28" s="75">
        <f>SIM_BASE!U69</f>
        <v>-701.84269359965413</v>
      </c>
      <c r="BJ28" s="72">
        <f t="shared" si="14"/>
        <v>-1.999999999990564E-3</v>
      </c>
      <c r="BK28" s="72">
        <f t="shared" si="15"/>
        <v>-1.9999999999728004E-3</v>
      </c>
      <c r="BL28" s="72">
        <f t="shared" si="16"/>
        <v>-1.9999999999957266E-3</v>
      </c>
      <c r="BM28" s="88">
        <f t="shared" si="60"/>
        <v>-5.999999999959091E-3</v>
      </c>
      <c r="BN28" s="73">
        <f t="shared" si="18"/>
        <v>-1.9999999996116458E-3</v>
      </c>
      <c r="BO28" s="74">
        <f>SIM_BASE!AB69</f>
        <v>183446.04193382364</v>
      </c>
      <c r="BP28" s="74">
        <f>SIM_BASE!AC69</f>
        <v>111558.60759814968</v>
      </c>
      <c r="BQ28" s="74">
        <f>SIM_BASE!AD69</f>
        <v>92302.344578159871</v>
      </c>
      <c r="BR28" s="95">
        <f t="shared" si="61"/>
        <v>153810.69467574457</v>
      </c>
      <c r="BS28" s="75">
        <f>SIM_BASE!AE69</f>
        <v>9767.8915464688125</v>
      </c>
    </row>
    <row r="29" spans="1:102">
      <c r="A29" s="348">
        <v>1</v>
      </c>
      <c r="B29" s="81">
        <v>2028</v>
      </c>
      <c r="C29" s="84" t="s">
        <v>0</v>
      </c>
      <c r="D29" s="167">
        <v>300.38814826692845</v>
      </c>
      <c r="E29" s="74">
        <v>144.92505738802575</v>
      </c>
      <c r="F29" s="74">
        <v>19.560507606658298</v>
      </c>
      <c r="G29" s="95">
        <v>464.87371326161252</v>
      </c>
      <c r="H29" s="75">
        <v>2428.2441642532149</v>
      </c>
      <c r="I29" s="74">
        <v>268.68425823654206</v>
      </c>
      <c r="J29" s="74">
        <v>139.63125325418204</v>
      </c>
      <c r="K29" s="74">
        <v>17.661806184533312</v>
      </c>
      <c r="L29" s="95">
        <v>425.97731767525744</v>
      </c>
      <c r="M29" s="74">
        <v>41.466262199136096</v>
      </c>
      <c r="N29" s="74">
        <v>2803.9179352687843</v>
      </c>
      <c r="O29" s="98">
        <v>2845.3841974679203</v>
      </c>
      <c r="P29" s="72">
        <v>31.704890030386359</v>
      </c>
      <c r="Q29" s="72">
        <v>5.2948041338437539</v>
      </c>
      <c r="R29" s="72">
        <v>1.899701422124987</v>
      </c>
      <c r="S29" s="88">
        <v>38.899395586355098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-417.13903321470673</v>
      </c>
      <c r="Z29" s="72">
        <v>-1.9999999999692477E-3</v>
      </c>
      <c r="AA29" s="72">
        <v>-2.0000000000465193E-3</v>
      </c>
      <c r="AB29" s="72">
        <v>-2.000000000000556E-3</v>
      </c>
      <c r="AC29" s="88">
        <v>-6.000000000016323E-3</v>
      </c>
      <c r="AD29" s="73">
        <v>-1.9999999987021511E-3</v>
      </c>
      <c r="AE29" s="74">
        <v>131456.95154371715</v>
      </c>
      <c r="AF29" s="74">
        <v>93392.617575737313</v>
      </c>
      <c r="AG29" s="74">
        <v>89062.610635722696</v>
      </c>
      <c r="AH29" s="95">
        <v>117222.08260335855</v>
      </c>
      <c r="AI29" s="75">
        <v>10066.230682342826</v>
      </c>
      <c r="AK29" s="348">
        <v>1</v>
      </c>
      <c r="AL29" s="81">
        <v>2028</v>
      </c>
      <c r="AM29" s="81" t="s">
        <v>0</v>
      </c>
      <c r="AN29" s="74">
        <f>SIM_BASE!E76</f>
        <v>300.79074559549463</v>
      </c>
      <c r="AO29" s="74">
        <f>SIM_BASE!F76</f>
        <v>148.26466536827235</v>
      </c>
      <c r="AP29" s="74">
        <f>SIM_BASE!G76</f>
        <v>18.989550976731973</v>
      </c>
      <c r="AQ29" s="95">
        <f t="shared" si="55"/>
        <v>468.04496194049892</v>
      </c>
      <c r="AR29" s="75">
        <f>SIM_BASE!H76</f>
        <v>2469.8755862155244</v>
      </c>
      <c r="AS29" s="74">
        <f>SIM_BASE!K76</f>
        <v>206.97415860835989</v>
      </c>
      <c r="AT29" s="74">
        <f>SIM_BASE!L76</f>
        <v>127.11411617677351</v>
      </c>
      <c r="AU29" s="74">
        <f>SIM_BASE!M76</f>
        <v>18.419302999092675</v>
      </c>
      <c r="AV29" s="95">
        <f t="shared" si="56"/>
        <v>352.5075777842261</v>
      </c>
      <c r="AW29" s="74">
        <f>SIM_BASE!N76</f>
        <v>60.54802153570872</v>
      </c>
      <c r="AX29" s="74">
        <f>SIM_BASE!O76</f>
        <v>3086.8617243575363</v>
      </c>
      <c r="AY29" s="98">
        <f t="shared" si="57"/>
        <v>3147.4097458932451</v>
      </c>
      <c r="AZ29" s="72">
        <f>SIM_BASE!V76</f>
        <v>93.817586987134803</v>
      </c>
      <c r="BA29" s="72">
        <f>SIM_BASE!W76</f>
        <v>21.151549191498876</v>
      </c>
      <c r="BB29" s="72">
        <f>SIM_BASE!X76</f>
        <v>0.57124797763929624</v>
      </c>
      <c r="BC29" s="88">
        <f t="shared" si="58"/>
        <v>115.54038415627298</v>
      </c>
      <c r="BD29" s="73">
        <f>SIM_BASE!Y76</f>
        <v>1E-3</v>
      </c>
      <c r="BE29" s="72">
        <f>SIM_BASE!R76</f>
        <v>1E-3</v>
      </c>
      <c r="BF29" s="72">
        <f>SIM_BASE!S76</f>
        <v>1E-3</v>
      </c>
      <c r="BG29" s="72">
        <f>SIM_BASE!T76</f>
        <v>1E-3</v>
      </c>
      <c r="BH29" s="88">
        <f t="shared" si="59"/>
        <v>3.0000000000000001E-3</v>
      </c>
      <c r="BI29" s="75">
        <f>SIM_BASE!U76</f>
        <v>-677.53315967772062</v>
      </c>
      <c r="BJ29" s="72">
        <f t="shared" si="14"/>
        <v>-2.0000000000616183E-3</v>
      </c>
      <c r="BK29" s="72">
        <f t="shared" si="15"/>
        <v>-2.0000000000367493E-3</v>
      </c>
      <c r="BL29" s="72">
        <f t="shared" si="16"/>
        <v>-1.9999999999985576E-3</v>
      </c>
      <c r="BM29" s="88">
        <f t="shared" si="60"/>
        <v>-6.0000000000969252E-3</v>
      </c>
      <c r="BN29" s="73">
        <f t="shared" si="18"/>
        <v>-2.0000000000663931E-3</v>
      </c>
      <c r="BO29" s="74">
        <f>SIM_BASE!AB76</f>
        <v>191738.31100703159</v>
      </c>
      <c r="BP29" s="74">
        <f>SIM_BASE!AC76</f>
        <v>109491.61737361114</v>
      </c>
      <c r="BQ29" s="74">
        <f>SIM_BASE!AD76</f>
        <v>89074.838235216695</v>
      </c>
      <c r="BR29" s="95">
        <f t="shared" si="61"/>
        <v>156715.7862170703</v>
      </c>
      <c r="BS29" s="75">
        <f>SIM_BASE!AE76</f>
        <v>10066.170499116921</v>
      </c>
    </row>
    <row r="30" spans="1:102">
      <c r="A30" s="496">
        <v>1</v>
      </c>
      <c r="B30" s="81">
        <v>2029</v>
      </c>
      <c r="C30" s="84" t="s">
        <v>0</v>
      </c>
      <c r="D30" s="167">
        <v>309.9044809435959</v>
      </c>
      <c r="E30" s="74">
        <v>158.68251194845263</v>
      </c>
      <c r="F30" s="74">
        <v>22.622815380252415</v>
      </c>
      <c r="G30" s="95">
        <v>491.20980827230096</v>
      </c>
      <c r="H30" s="75">
        <v>2605.3880742358069</v>
      </c>
      <c r="I30" s="74">
        <v>275.49343137314111</v>
      </c>
      <c r="J30" s="74">
        <v>152.31182588596795</v>
      </c>
      <c r="K30" s="74">
        <v>19.498202181397875</v>
      </c>
      <c r="L30" s="95">
        <v>447.30345944050691</v>
      </c>
      <c r="M30" s="74">
        <v>40.561932679155163</v>
      </c>
      <c r="N30" s="74">
        <v>2952.4598087058762</v>
      </c>
      <c r="O30" s="98">
        <v>2993.0217413850314</v>
      </c>
      <c r="P30" s="72">
        <v>34.412049570454798</v>
      </c>
      <c r="Q30" s="72">
        <v>6.3716860624846889</v>
      </c>
      <c r="R30" s="72">
        <v>1E-3</v>
      </c>
      <c r="S30" s="88">
        <v>40.784735632939487</v>
      </c>
      <c r="T30" s="73">
        <v>1E-3</v>
      </c>
      <c r="U30" s="72">
        <v>1E-3</v>
      </c>
      <c r="V30" s="72">
        <v>1E-3</v>
      </c>
      <c r="W30" s="72">
        <v>3.1256131988545435</v>
      </c>
      <c r="X30" s="88">
        <v>3.1276131988545433</v>
      </c>
      <c r="Y30" s="75">
        <v>-387.6326671492244</v>
      </c>
      <c r="Z30" s="72">
        <v>-2.0000000000047749E-3</v>
      </c>
      <c r="AA30" s="72">
        <v>-2.0000000000092158E-3</v>
      </c>
      <c r="AB30" s="72">
        <v>-2.0000000000033324E-3</v>
      </c>
      <c r="AC30" s="88">
        <v>-6.0000000000173231E-3</v>
      </c>
      <c r="AD30" s="73">
        <v>-2.0000000000663931E-3</v>
      </c>
      <c r="AE30" s="74">
        <v>138083.15024249471</v>
      </c>
      <c r="AF30" s="74">
        <v>91231.05427051874</v>
      </c>
      <c r="AG30" s="74">
        <v>87330.475283200969</v>
      </c>
      <c r="AH30" s="95">
        <v>119917.1512317938</v>
      </c>
      <c r="AI30" s="75">
        <v>10375.447941277504</v>
      </c>
      <c r="AK30" s="496">
        <v>1</v>
      </c>
      <c r="AL30" s="81">
        <v>2029</v>
      </c>
      <c r="AM30" s="81" t="s">
        <v>0</v>
      </c>
      <c r="AN30" s="74">
        <f>SIM_BASE!E83</f>
        <v>309.36440860007554</v>
      </c>
      <c r="AO30" s="74">
        <f>SIM_BASE!F83</f>
        <v>162.28661913307991</v>
      </c>
      <c r="AP30" s="74">
        <f>SIM_BASE!G83</f>
        <v>22.373276762061398</v>
      </c>
      <c r="AQ30" s="95">
        <f t="shared" si="55"/>
        <v>494.02430449521682</v>
      </c>
      <c r="AR30" s="75">
        <f>SIM_BASE!H83</f>
        <v>2652.8115699618506</v>
      </c>
      <c r="AS30" s="74">
        <f>SIM_BASE!K83</f>
        <v>212.97208515084219</v>
      </c>
      <c r="AT30" s="74">
        <f>SIM_BASE!L83</f>
        <v>138.77649280376653</v>
      </c>
      <c r="AU30" s="74">
        <f>SIM_BASE!M83</f>
        <v>19.94320224924175</v>
      </c>
      <c r="AV30" s="95">
        <f t="shared" si="56"/>
        <v>371.6917802038505</v>
      </c>
      <c r="AW30" s="74">
        <f>SIM_BASE!N83</f>
        <v>61.12274231857846</v>
      </c>
      <c r="AX30" s="74">
        <f>SIM_BASE!O83</f>
        <v>3257.7805892623364</v>
      </c>
      <c r="AY30" s="98">
        <f t="shared" si="57"/>
        <v>3318.9033315809147</v>
      </c>
      <c r="AZ30" s="72">
        <f>SIM_BASE!V83</f>
        <v>96.393323449233336</v>
      </c>
      <c r="BA30" s="72">
        <f>SIM_BASE!W83</f>
        <v>23.511126329313377</v>
      </c>
      <c r="BB30" s="72">
        <f>SIM_BASE!X83</f>
        <v>2.4310745128196336</v>
      </c>
      <c r="BC30" s="88">
        <f t="shared" si="58"/>
        <v>122.33552429136634</v>
      </c>
      <c r="BD30" s="73">
        <f>SIM_BASE!Y83</f>
        <v>1E-3</v>
      </c>
      <c r="BE30" s="72">
        <f>SIM_BASE!R83</f>
        <v>1E-3</v>
      </c>
      <c r="BF30" s="72">
        <f>SIM_BASE!S83</f>
        <v>1E-3</v>
      </c>
      <c r="BG30" s="72">
        <f>SIM_BASE!T83</f>
        <v>1E-3</v>
      </c>
      <c r="BH30" s="88">
        <f t="shared" si="59"/>
        <v>3.0000000000000001E-3</v>
      </c>
      <c r="BI30" s="75">
        <f>SIM_BASE!U83</f>
        <v>-666.09076161906478</v>
      </c>
      <c r="BJ30" s="72">
        <f t="shared" si="14"/>
        <v>-1.999999999990564E-3</v>
      </c>
      <c r="BK30" s="72">
        <f t="shared" si="15"/>
        <v>-1.9999999999976694E-3</v>
      </c>
      <c r="BL30" s="72">
        <f t="shared" si="16"/>
        <v>-1.9999999999861231E-3</v>
      </c>
      <c r="BM30" s="88">
        <f t="shared" si="60"/>
        <v>-5.9999999999743566E-3</v>
      </c>
      <c r="BN30" s="73">
        <f t="shared" si="18"/>
        <v>-1.9999999992705852E-3</v>
      </c>
      <c r="BO30" s="74">
        <f>SIM_BASE!AB83</f>
        <v>200739.49771721056</v>
      </c>
      <c r="BP30" s="74">
        <f>SIM_BASE!AC83</f>
        <v>107059.71550798501</v>
      </c>
      <c r="BQ30" s="74">
        <f>SIM_BASE!AD83</f>
        <v>89441.07911085464</v>
      </c>
      <c r="BR30" s="95">
        <f t="shared" si="61"/>
        <v>159791.05789549329</v>
      </c>
      <c r="BS30" s="75">
        <f>SIM_BASE!AE83</f>
        <v>10375.384680616462</v>
      </c>
    </row>
    <row r="31" spans="1:102" ht="17" thickBot="1">
      <c r="A31" s="382">
        <v>1</v>
      </c>
      <c r="B31" s="82">
        <v>2030</v>
      </c>
      <c r="C31" s="372" t="s">
        <v>0</v>
      </c>
      <c r="D31" s="169">
        <v>133.70793300161228</v>
      </c>
      <c r="E31" s="78">
        <v>832.78849934730999</v>
      </c>
      <c r="F31" s="78">
        <v>89.051331494632777</v>
      </c>
      <c r="G31" s="96">
        <v>1055.547763843555</v>
      </c>
      <c r="H31" s="79">
        <v>550.31543528554539</v>
      </c>
      <c r="I31" s="78">
        <v>124.82056916410241</v>
      </c>
      <c r="J31" s="78">
        <v>870.932913808904</v>
      </c>
      <c r="K31" s="78">
        <v>85.357899819288832</v>
      </c>
      <c r="L31" s="96">
        <v>1081.1113827922952</v>
      </c>
      <c r="M31" s="78">
        <v>60.16798852629568</v>
      </c>
      <c r="N31" s="78">
        <v>7973.618697349355</v>
      </c>
      <c r="O31" s="99">
        <v>8033.7866858756506</v>
      </c>
      <c r="P31" s="76">
        <v>8.8883638375099583</v>
      </c>
      <c r="Q31" s="76">
        <v>-38.143414461594269</v>
      </c>
      <c r="R31" s="76">
        <v>3.3947529598135788</v>
      </c>
      <c r="S31" s="89">
        <v>-25.860297664270732</v>
      </c>
      <c r="T31" s="77">
        <v>1E-3</v>
      </c>
      <c r="U31" s="76">
        <v>1E-3</v>
      </c>
      <c r="V31" s="76">
        <v>1E-3</v>
      </c>
      <c r="W31" s="76">
        <v>0.30067871553038233</v>
      </c>
      <c r="X31" s="89">
        <v>0.30267871553038234</v>
      </c>
      <c r="Y31" s="79">
        <v>-7483.4702505901041</v>
      </c>
      <c r="Z31" s="72">
        <v>-2.0000000000918164E-3</v>
      </c>
      <c r="AA31" s="72">
        <v>-1.9999999997418741E-3</v>
      </c>
      <c r="AB31" s="72">
        <v>-2.0000000000164886E-3</v>
      </c>
      <c r="AC31" s="88">
        <v>-5.999999999850179E-3</v>
      </c>
      <c r="AD31" s="73">
        <v>-2.0000000013169483E-3</v>
      </c>
      <c r="AE31" s="78">
        <v>139518.94001767412</v>
      </c>
      <c r="AF31" s="78">
        <v>91274.216553713253</v>
      </c>
      <c r="AG31" s="78">
        <v>88365.925283200995</v>
      </c>
      <c r="AH31" s="96">
        <v>96614.728455558492</v>
      </c>
      <c r="AI31" s="79">
        <v>10012.115998607609</v>
      </c>
      <c r="AK31" s="382">
        <v>1</v>
      </c>
      <c r="AL31" s="82">
        <v>2030</v>
      </c>
      <c r="AM31" s="82" t="s">
        <v>0</v>
      </c>
      <c r="AN31" s="74">
        <f>SIM_BASE!E84</f>
        <v>16.909717053303499</v>
      </c>
      <c r="AO31" s="74">
        <f>SIM_BASE!F84</f>
        <v>625.87535283725811</v>
      </c>
      <c r="AP31" s="74">
        <f>SIM_BASE!G84</f>
        <v>88.25242217537955</v>
      </c>
      <c r="AQ31" s="95">
        <f t="shared" ref="AQ31" si="62">SUM(AN31:AP31)</f>
        <v>731.03749206594125</v>
      </c>
      <c r="AR31" s="75">
        <f>SIM_BASE!H84</f>
        <v>560.63244597059725</v>
      </c>
      <c r="AS31" s="74">
        <f>SIM_BASE!K84</f>
        <v>96.744507435592155</v>
      </c>
      <c r="AT31" s="74">
        <f>SIM_BASE!L84</f>
        <v>797.49000520716402</v>
      </c>
      <c r="AU31" s="74">
        <f>SIM_BASE!M84</f>
        <v>86.835391792381586</v>
      </c>
      <c r="AV31" s="95">
        <f t="shared" ref="AV31" si="63">SUM(AS31:AU31)</f>
        <v>981.06990443513769</v>
      </c>
      <c r="AW31" s="74">
        <f>SIM_BASE!N84</f>
        <v>50.260215394249158</v>
      </c>
      <c r="AX31" s="74">
        <f>SIM_BASE!O84</f>
        <v>6113.712991757443</v>
      </c>
      <c r="AY31" s="98">
        <f t="shared" ref="AY31" si="64">SUM(AW31:AX31)</f>
        <v>6163.9732071516919</v>
      </c>
      <c r="AZ31" s="72">
        <f>SIM_BASE!V84</f>
        <v>-79.833790382288669</v>
      </c>
      <c r="BA31" s="72">
        <f>SIM_BASE!W84</f>
        <v>-171.61365236990599</v>
      </c>
      <c r="BB31" s="72">
        <f>SIM_BASE!X84</f>
        <v>1.4180303829979857</v>
      </c>
      <c r="BC31" s="88">
        <f t="shared" ref="BC31" si="65">SUM(AZ31:BB31)</f>
        <v>-250.02941236919668</v>
      </c>
      <c r="BD31" s="73">
        <f>SIM_BASE!Y84</f>
        <v>1E-3</v>
      </c>
      <c r="BE31" s="72">
        <f>SIM_BASE!R84</f>
        <v>1E-3</v>
      </c>
      <c r="BF31" s="72">
        <f>SIM_BASE!S84</f>
        <v>1E-3</v>
      </c>
      <c r="BG31" s="72">
        <f>SIM_BASE!T84</f>
        <v>1E-3</v>
      </c>
      <c r="BH31" s="88">
        <f t="shared" ref="BH31" si="66">SUM(BE31:BG31)</f>
        <v>3.0000000000000001E-3</v>
      </c>
      <c r="BI31" s="75">
        <f>SIM_BASE!U84</f>
        <v>-5603.3397611810951</v>
      </c>
      <c r="BJ31" s="72">
        <f t="shared" ref="BJ31" si="67">AN31-AS31-AZ31-BE31</f>
        <v>-1.999999999990564E-3</v>
      </c>
      <c r="BK31" s="72">
        <f t="shared" ref="BK31" si="68">AO31-AT31-BA31-BF31</f>
        <v>-1.9999999999195097E-3</v>
      </c>
      <c r="BL31" s="72">
        <f t="shared" ref="BL31" si="69">AP31-AU31-BB31-BG31</f>
        <v>-2.0000000000212062E-3</v>
      </c>
      <c r="BM31" s="88">
        <f t="shared" ref="BM31" si="70">SUM(BJ31:BL31)</f>
        <v>-5.9999999999312799E-3</v>
      </c>
      <c r="BN31" s="73">
        <f t="shared" ref="BN31" si="71">AR31-AW31-AX31-BD31-BI31</f>
        <v>-1.9999999994979589E-3</v>
      </c>
      <c r="BO31" s="74">
        <f>SIM_BASE!AB84</f>
        <v>202444.66119714896</v>
      </c>
      <c r="BP31" s="74">
        <f>SIM_BASE!AC84</f>
        <v>107008.84650807414</v>
      </c>
      <c r="BQ31" s="74">
        <f>SIM_BASE!AD84</f>
        <v>90717.549284343302</v>
      </c>
      <c r="BR31" s="95">
        <f t="shared" ref="BR31" si="72">SUMPRODUCT(BO31:BQ31,AS31:AU31)/AV31</f>
        <v>114977.93176003857</v>
      </c>
      <c r="BS31" s="75">
        <f>SIM_BASE!AE84</f>
        <v>10012.274836182163</v>
      </c>
    </row>
    <row r="32" spans="1:102">
      <c r="A32" s="347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47">
        <v>2</v>
      </c>
      <c r="AL32" s="80">
        <v>2018</v>
      </c>
      <c r="AM32" s="80" t="s">
        <v>1</v>
      </c>
      <c r="AN32" s="70">
        <f>SIM_BASE!E7</f>
        <v>95.488101027222939</v>
      </c>
      <c r="AO32" s="70">
        <f>SIM_BASE!F7</f>
        <v>414.04894000327317</v>
      </c>
      <c r="AP32" s="70">
        <f>SIM_BASE!G7</f>
        <v>33.830309604790408</v>
      </c>
      <c r="AQ32" s="94">
        <f t="shared" si="55"/>
        <v>543.36735063528647</v>
      </c>
      <c r="AR32" s="71">
        <f>SIM_BASE!H7</f>
        <v>332.10403618883606</v>
      </c>
      <c r="AS32" s="70">
        <f>SIM_BASE!K7</f>
        <v>95.065742750544857</v>
      </c>
      <c r="AT32" s="70">
        <f>SIM_BASE!L7</f>
        <v>421.23042051868003</v>
      </c>
      <c r="AU32" s="70">
        <f>SIM_BASE!M7</f>
        <v>33.888387268538111</v>
      </c>
      <c r="AV32" s="94">
        <f t="shared" si="56"/>
        <v>550.18455053776302</v>
      </c>
      <c r="AW32" s="70">
        <f>SIM_BASE!N7</f>
        <v>49.947741995221747</v>
      </c>
      <c r="AX32" s="70">
        <f>SIM_BASE!O7</f>
        <v>4003.5527529301198</v>
      </c>
      <c r="AY32" s="97">
        <f t="shared" si="57"/>
        <v>4053.5004949253416</v>
      </c>
      <c r="AZ32" s="68">
        <f>SIM_BASE!V7</f>
        <v>0.42335827667807513</v>
      </c>
      <c r="BA32" s="68">
        <f>SIM_BASE!W7</f>
        <v>-7.1804805154068712</v>
      </c>
      <c r="BB32" s="68">
        <f>SIM_BASE!X7</f>
        <v>-5.7077663747716834E-2</v>
      </c>
      <c r="BC32" s="87">
        <f t="shared" si="58"/>
        <v>-6.8141999024765125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9"/>
        <v>3.0000000000000001E-3</v>
      </c>
      <c r="BI32" s="71">
        <f>SIM_BASE!U7</f>
        <v>-3721.3954587365056</v>
      </c>
      <c r="BJ32" s="68">
        <f t="shared" si="14"/>
        <v>-1.9999999999928955E-3</v>
      </c>
      <c r="BK32" s="68">
        <f t="shared" si="15"/>
        <v>-1.9999999999896758E-3</v>
      </c>
      <c r="BL32" s="68">
        <f t="shared" si="16"/>
        <v>-1.9999999999861231E-3</v>
      </c>
      <c r="BM32" s="87">
        <f t="shared" si="60"/>
        <v>-5.9999999999686944E-3</v>
      </c>
      <c r="BN32" s="69">
        <f t="shared" si="18"/>
        <v>-1.9999999999527063E-3</v>
      </c>
      <c r="BO32" s="70">
        <f>SIM_BASE!AB7</f>
        <v>78269.678446868507</v>
      </c>
      <c r="BP32" s="70">
        <f>SIM_BASE!AC7</f>
        <v>79642.820568727533</v>
      </c>
      <c r="BQ32" s="70">
        <f>SIM_BASE!AD7</f>
        <v>83710.933407883771</v>
      </c>
      <c r="BR32" s="94">
        <f t="shared" si="61"/>
        <v>79656.130661898438</v>
      </c>
      <c r="BS32" s="71">
        <f>SIM_BASE!AE7</f>
        <v>6993.2141258114561</v>
      </c>
    </row>
    <row r="33" spans="1:71">
      <c r="A33" s="348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48">
        <v>2</v>
      </c>
      <c r="AL33" s="81">
        <v>2019</v>
      </c>
      <c r="AM33" s="81" t="s">
        <v>1</v>
      </c>
      <c r="AN33" s="74">
        <f>SIM_BASE!E14</f>
        <v>12.132843172032493</v>
      </c>
      <c r="AO33" s="74">
        <f>SIM_BASE!F14</f>
        <v>291.57607408016167</v>
      </c>
      <c r="AP33" s="74">
        <f>SIM_BASE!G14</f>
        <v>36.625808377650003</v>
      </c>
      <c r="AQ33" s="95">
        <f t="shared" si="55"/>
        <v>340.33472562984417</v>
      </c>
      <c r="AR33" s="75">
        <f>SIM_BASE!H14</f>
        <v>332.822462956442</v>
      </c>
      <c r="AS33" s="74">
        <f>SIM_BASE!K14</f>
        <v>61.335391274896779</v>
      </c>
      <c r="AT33" s="74">
        <f>SIM_BASE!L14</f>
        <v>358.93310842977098</v>
      </c>
      <c r="AU33" s="74">
        <f>SIM_BASE!M14</f>
        <v>38.237631978028112</v>
      </c>
      <c r="AV33" s="95">
        <f t="shared" si="56"/>
        <v>458.50613168269587</v>
      </c>
      <c r="AW33" s="74">
        <f>SIM_BASE!N14</f>
        <v>42.354902726248163</v>
      </c>
      <c r="AX33" s="74">
        <f>SIM_BASE!O14</f>
        <v>2751.7227367423352</v>
      </c>
      <c r="AY33" s="98">
        <f t="shared" si="57"/>
        <v>2794.0776394685836</v>
      </c>
      <c r="AZ33" s="72">
        <f>SIM_BASE!V14</f>
        <v>-49.201548102864329</v>
      </c>
      <c r="BA33" s="72">
        <f>SIM_BASE!W14</f>
        <v>-67.356034349609217</v>
      </c>
      <c r="BB33" s="72">
        <f>SIM_BASE!X14</f>
        <v>-1.6108236003781105</v>
      </c>
      <c r="BC33" s="88">
        <f t="shared" si="58"/>
        <v>-118.16840605285167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9"/>
        <v>3.0000000000000001E-3</v>
      </c>
      <c r="BI33" s="75">
        <f>SIM_BASE!U14</f>
        <v>-2461.2541765121414</v>
      </c>
      <c r="BJ33" s="72">
        <f t="shared" si="14"/>
        <v>-1.9999999999550369E-3</v>
      </c>
      <c r="BK33" s="72">
        <f t="shared" si="15"/>
        <v>-2.00000000009004E-3</v>
      </c>
      <c r="BL33" s="72">
        <f t="shared" si="16"/>
        <v>-1.9999999999987797E-3</v>
      </c>
      <c r="BM33" s="88">
        <f t="shared" si="60"/>
        <v>-6.0000000000438565E-3</v>
      </c>
      <c r="BN33" s="73">
        <f t="shared" si="18"/>
        <v>-2.0000000004074536E-3</v>
      </c>
      <c r="BO33" s="74">
        <f>SIM_BASE!AB14</f>
        <v>116814.58468883472</v>
      </c>
      <c r="BP33" s="74">
        <f>SIM_BASE!AC14</f>
        <v>84375.489801099437</v>
      </c>
      <c r="BQ33" s="74">
        <f>SIM_BASE!AD14</f>
        <v>93957.934910447497</v>
      </c>
      <c r="BR33" s="95">
        <f t="shared" si="61"/>
        <v>89514.078849924088</v>
      </c>
      <c r="BS33" s="75">
        <f>SIM_BASE!AE14</f>
        <v>7294.4805031470296</v>
      </c>
    </row>
    <row r="34" spans="1:71">
      <c r="A34" s="348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48">
        <v>2</v>
      </c>
      <c r="AL34" s="81">
        <v>2020</v>
      </c>
      <c r="AM34" s="81" t="s">
        <v>1</v>
      </c>
      <c r="AN34" s="74">
        <f>SIM_BASE!E21</f>
        <v>12.863697436558544</v>
      </c>
      <c r="AO34" s="74">
        <f>SIM_BASE!F21</f>
        <v>336.95829291643406</v>
      </c>
      <c r="AP34" s="74">
        <f>SIM_BASE!G21</f>
        <v>36.975875781196287</v>
      </c>
      <c r="AQ34" s="95">
        <f t="shared" si="55"/>
        <v>386.79786613418889</v>
      </c>
      <c r="AR34" s="75">
        <f>SIM_BASE!H21</f>
        <v>345.87180366283866</v>
      </c>
      <c r="AS34" s="74">
        <f>SIM_BASE!K21</f>
        <v>76.236540649857773</v>
      </c>
      <c r="AT34" s="74">
        <f>SIM_BASE!L21</f>
        <v>421.29265855215709</v>
      </c>
      <c r="AU34" s="74">
        <f>SIM_BASE!M21</f>
        <v>38.48544498055751</v>
      </c>
      <c r="AV34" s="95">
        <f t="shared" si="56"/>
        <v>536.0146441825724</v>
      </c>
      <c r="AW34" s="74">
        <f>SIM_BASE!N21</f>
        <v>39.854560446107072</v>
      </c>
      <c r="AX34" s="74">
        <f>SIM_BASE!O21</f>
        <v>3258.3810118977008</v>
      </c>
      <c r="AY34" s="98">
        <f t="shared" si="57"/>
        <v>3298.2355723438077</v>
      </c>
      <c r="AZ34" s="72">
        <f>SIM_BASE!V21</f>
        <v>-63.371843213299385</v>
      </c>
      <c r="BA34" s="72">
        <f>SIM_BASE!W21</f>
        <v>-84.333365635722899</v>
      </c>
      <c r="BB34" s="72">
        <f>SIM_BASE!X21</f>
        <v>-1.508569199361208</v>
      </c>
      <c r="BC34" s="88">
        <f t="shared" si="58"/>
        <v>-149.21377804838349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9"/>
        <v>3.0000000000000001E-3</v>
      </c>
      <c r="BI34" s="75">
        <f>SIM_BASE!U21</f>
        <v>-2952.3627686809687</v>
      </c>
      <c r="BJ34" s="72">
        <f t="shared" si="14"/>
        <v>-1.99999999984135E-3</v>
      </c>
      <c r="BK34" s="72">
        <f t="shared" si="15"/>
        <v>-2.0000000001326726E-3</v>
      </c>
      <c r="BL34" s="72">
        <f t="shared" si="16"/>
        <v>-2.000000000015433E-3</v>
      </c>
      <c r="BM34" s="88">
        <f t="shared" si="60"/>
        <v>-5.9999999999894556E-3</v>
      </c>
      <c r="BN34" s="73">
        <f t="shared" si="18"/>
        <v>-2.000000000862201E-3</v>
      </c>
      <c r="BO34" s="74">
        <f>SIM_BASE!AB21</f>
        <v>130581.96954579565</v>
      </c>
      <c r="BP34" s="74">
        <f>SIM_BASE!AC21</f>
        <v>102641.58397790455</v>
      </c>
      <c r="BQ34" s="74">
        <f>SIM_BASE!AD21</f>
        <v>93903.401435542197</v>
      </c>
      <c r="BR34" s="95">
        <f t="shared" si="61"/>
        <v>105988.10727931661</v>
      </c>
      <c r="BS34" s="75">
        <f>SIM_BASE!AE21</f>
        <v>7513.0478391134775</v>
      </c>
    </row>
    <row r="35" spans="1:71">
      <c r="A35" s="348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48">
        <v>2</v>
      </c>
      <c r="AL35" s="81">
        <v>2021</v>
      </c>
      <c r="AM35" s="81" t="s">
        <v>1</v>
      </c>
      <c r="AN35" s="74">
        <f>SIM_BASE!E28</f>
        <v>13.255388210500005</v>
      </c>
      <c r="AO35" s="74">
        <f>SIM_BASE!F28</f>
        <v>352.87773426931756</v>
      </c>
      <c r="AP35" s="74">
        <f>SIM_BASE!G28</f>
        <v>39.26594674990487</v>
      </c>
      <c r="AQ35" s="95">
        <f t="shared" si="55"/>
        <v>405.39906922972244</v>
      </c>
      <c r="AR35" s="75">
        <f>SIM_BASE!H28</f>
        <v>359.2628225684299</v>
      </c>
      <c r="AS35" s="74">
        <f>SIM_BASE!K28</f>
        <v>78.183297312624006</v>
      </c>
      <c r="AT35" s="74">
        <f>SIM_BASE!L28</f>
        <v>444.29394193606561</v>
      </c>
      <c r="AU35" s="74">
        <f>SIM_BASE!M28</f>
        <v>41.152874840856072</v>
      </c>
      <c r="AV35" s="95">
        <f t="shared" si="56"/>
        <v>563.6301140895456</v>
      </c>
      <c r="AW35" s="74">
        <f>SIM_BASE!N28</f>
        <v>39.954002869369234</v>
      </c>
      <c r="AX35" s="74">
        <f>SIM_BASE!O28</f>
        <v>3443.9191737918827</v>
      </c>
      <c r="AY35" s="98">
        <f t="shared" si="57"/>
        <v>3483.8731766612518</v>
      </c>
      <c r="AZ35" s="72">
        <f>SIM_BASE!V28</f>
        <v>-64.926909102124043</v>
      </c>
      <c r="BA35" s="72">
        <f>SIM_BASE!W28</f>
        <v>-91.415207666748003</v>
      </c>
      <c r="BB35" s="72">
        <f>SIM_BASE!X28</f>
        <v>-1.8859280909511862</v>
      </c>
      <c r="BC35" s="88">
        <f t="shared" si="58"/>
        <v>-158.22804485982323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9"/>
        <v>3.0000000000000001E-3</v>
      </c>
      <c r="BI35" s="75">
        <f>SIM_BASE!U28</f>
        <v>-3124.6093540928214</v>
      </c>
      <c r="BJ35" s="72">
        <f t="shared" si="14"/>
        <v>-1.9999999999621423E-3</v>
      </c>
      <c r="BK35" s="72">
        <f t="shared" si="15"/>
        <v>-2.0000000000474074E-3</v>
      </c>
      <c r="BL35" s="72">
        <f t="shared" si="16"/>
        <v>-2.000000000015211E-3</v>
      </c>
      <c r="BM35" s="88">
        <f t="shared" si="60"/>
        <v>-6.0000000000247607E-3</v>
      </c>
      <c r="BN35" s="73">
        <f t="shared" si="18"/>
        <v>-2.000000000862201E-3</v>
      </c>
      <c r="BO35" s="74">
        <f>SIM_BASE!AB28</f>
        <v>138066.47311714917</v>
      </c>
      <c r="BP35" s="74">
        <f>SIM_BASE!AC28</f>
        <v>106057.36441779671</v>
      </c>
      <c r="BQ35" s="74">
        <f>SIM_BASE!AD28</f>
        <v>96537.157099249132</v>
      </c>
      <c r="BR35" s="95">
        <f t="shared" si="61"/>
        <v>109802.36261634761</v>
      </c>
      <c r="BS35" s="75">
        <f>SIM_BASE!AE28</f>
        <v>7769.1567032821113</v>
      </c>
    </row>
    <row r="36" spans="1:71">
      <c r="A36" s="348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48">
        <v>2</v>
      </c>
      <c r="AL36" s="81">
        <v>2022</v>
      </c>
      <c r="AM36" s="81" t="s">
        <v>1</v>
      </c>
      <c r="AN36" s="74">
        <f>SIM_BASE!E35</f>
        <v>13.65923724631806</v>
      </c>
      <c r="AO36" s="74">
        <f>SIM_BASE!F35</f>
        <v>371.82212826643007</v>
      </c>
      <c r="AP36" s="74">
        <f>SIM_BASE!G35</f>
        <v>42.023308408100554</v>
      </c>
      <c r="AQ36" s="95">
        <f t="shared" si="55"/>
        <v>427.50467392084869</v>
      </c>
      <c r="AR36" s="75">
        <f>SIM_BASE!H35</f>
        <v>374.68472894202517</v>
      </c>
      <c r="AS36" s="74">
        <f>SIM_BASE!K35</f>
        <v>80.184457208825009</v>
      </c>
      <c r="AT36" s="74">
        <f>SIM_BASE!L35</f>
        <v>470.30485603065654</v>
      </c>
      <c r="AU36" s="74">
        <f>SIM_BASE!M35</f>
        <v>44.301979318089565</v>
      </c>
      <c r="AV36" s="95">
        <f t="shared" si="56"/>
        <v>594.79129255757118</v>
      </c>
      <c r="AW36" s="74">
        <f>SIM_BASE!N35</f>
        <v>40.302346286995387</v>
      </c>
      <c r="AX36" s="74">
        <f>SIM_BASE!O35</f>
        <v>3654.1852023167303</v>
      </c>
      <c r="AY36" s="98">
        <f t="shared" si="57"/>
        <v>3694.4875486037258</v>
      </c>
      <c r="AZ36" s="72">
        <f>SIM_BASE!V35</f>
        <v>-66.524219962506947</v>
      </c>
      <c r="BA36" s="72">
        <f>SIM_BASE!W35</f>
        <v>-98.481727764226164</v>
      </c>
      <c r="BB36" s="72">
        <f>SIM_BASE!X35</f>
        <v>-2.2776709099890264</v>
      </c>
      <c r="BC36" s="88">
        <f t="shared" si="58"/>
        <v>-167.28361863672211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9"/>
        <v>3.0000000000000001E-3</v>
      </c>
      <c r="BI36" s="75">
        <f>SIM_BASE!U35</f>
        <v>-3319.8018196617004</v>
      </c>
      <c r="BJ36" s="72">
        <f t="shared" si="14"/>
        <v>-2.0000000000047749E-3</v>
      </c>
      <c r="BK36" s="72">
        <f t="shared" si="15"/>
        <v>-2.0000000003032028E-3</v>
      </c>
      <c r="BL36" s="72">
        <f t="shared" si="16"/>
        <v>-1.9999999999839027E-3</v>
      </c>
      <c r="BM36" s="88">
        <f t="shared" si="60"/>
        <v>-6.0000000002918804E-3</v>
      </c>
      <c r="BN36" s="73">
        <f t="shared" si="18"/>
        <v>-2.0000000004074536E-3</v>
      </c>
      <c r="BO36" s="74">
        <f>SIM_BASE!AB35</f>
        <v>145759.65715613306</v>
      </c>
      <c r="BP36" s="74">
        <f>SIM_BASE!AC35</f>
        <v>108903.47852812684</v>
      </c>
      <c r="BQ36" s="74">
        <f>SIM_BASE!AD35</f>
        <v>98327.90907268766</v>
      </c>
      <c r="BR36" s="95">
        <f t="shared" si="61"/>
        <v>113084.39719641009</v>
      </c>
      <c r="BS36" s="75">
        <f>SIM_BASE!AE35</f>
        <v>8033.0037347721409</v>
      </c>
    </row>
    <row r="37" spans="1:71">
      <c r="A37" s="348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48">
        <v>2</v>
      </c>
      <c r="AL37" s="81">
        <v>2023</v>
      </c>
      <c r="AM37" s="81" t="s">
        <v>1</v>
      </c>
      <c r="AN37" s="74">
        <f>SIM_BASE!E42</f>
        <v>14.067187030274294</v>
      </c>
      <c r="AO37" s="74">
        <f>SIM_BASE!F42</f>
        <v>394.05532548455125</v>
      </c>
      <c r="AP37" s="74">
        <f>SIM_BASE!G42</f>
        <v>45.337022684965127</v>
      </c>
      <c r="AQ37" s="95">
        <f t="shared" si="55"/>
        <v>453.45953519979065</v>
      </c>
      <c r="AR37" s="75">
        <f>SIM_BASE!H42</f>
        <v>391.9734399265302</v>
      </c>
      <c r="AS37" s="74">
        <f>SIM_BASE!K42</f>
        <v>82.283747168059321</v>
      </c>
      <c r="AT37" s="74">
        <f>SIM_BASE!L42</f>
        <v>500.0240583627301</v>
      </c>
      <c r="AU37" s="74">
        <f>SIM_BASE!M42</f>
        <v>48.025511874469188</v>
      </c>
      <c r="AV37" s="95">
        <f t="shared" si="56"/>
        <v>630.33331740525864</v>
      </c>
      <c r="AW37" s="74">
        <f>SIM_BASE!N42</f>
        <v>40.947110130512598</v>
      </c>
      <c r="AX37" s="74">
        <f>SIM_BASE!O42</f>
        <v>3890.7929409459771</v>
      </c>
      <c r="AY37" s="98">
        <f t="shared" si="57"/>
        <v>3931.7400510764896</v>
      </c>
      <c r="AZ37" s="72">
        <f>SIM_BASE!V42</f>
        <v>-68.215560137785118</v>
      </c>
      <c r="BA37" s="72">
        <f>SIM_BASE!W42</f>
        <v>-105.96773287817901</v>
      </c>
      <c r="BB37" s="72">
        <f>SIM_BASE!X42</f>
        <v>-2.6874891895040398</v>
      </c>
      <c r="BC37" s="88">
        <f t="shared" si="58"/>
        <v>-176.87078220546817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9"/>
        <v>3.0000000000000001E-3</v>
      </c>
      <c r="BI37" s="75">
        <f>SIM_BASE!U42</f>
        <v>-3539.7656111499591</v>
      </c>
      <c r="BJ37" s="72">
        <f t="shared" si="14"/>
        <v>-1.9999999999052989E-3</v>
      </c>
      <c r="BK37" s="72">
        <f t="shared" si="15"/>
        <v>-1.9999999998484555E-3</v>
      </c>
      <c r="BL37" s="72">
        <f t="shared" si="16"/>
        <v>-2.0000000000212062E-3</v>
      </c>
      <c r="BM37" s="88">
        <f t="shared" si="60"/>
        <v>-5.9999999997749605E-3</v>
      </c>
      <c r="BN37" s="73">
        <f t="shared" si="18"/>
        <v>-2.0000000004074536E-3</v>
      </c>
      <c r="BO37" s="74">
        <f>SIM_BASE!AB42</f>
        <v>153538.73825238994</v>
      </c>
      <c r="BP37" s="74">
        <f>SIM_BASE!AC42</f>
        <v>111033.1324345262</v>
      </c>
      <c r="BQ37" s="74">
        <f>SIM_BASE!AD42</f>
        <v>99210.37592613275</v>
      </c>
      <c r="BR37" s="95">
        <f t="shared" si="61"/>
        <v>115681.03301087457</v>
      </c>
      <c r="BS37" s="75">
        <f>SIM_BASE!AE42</f>
        <v>8291.7225082121404</v>
      </c>
    </row>
    <row r="38" spans="1:71">
      <c r="A38" s="348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48">
        <v>2</v>
      </c>
      <c r="AL38" s="81">
        <v>2024</v>
      </c>
      <c r="AM38" s="81" t="s">
        <v>1</v>
      </c>
      <c r="AN38" s="74">
        <f>SIM_BASE!E49</f>
        <v>14.504640408594584</v>
      </c>
      <c r="AO38" s="74">
        <f>SIM_BASE!F49</f>
        <v>419.94027331995312</v>
      </c>
      <c r="AP38" s="74">
        <f>SIM_BASE!G49</f>
        <v>49.307001636614039</v>
      </c>
      <c r="AQ38" s="95">
        <f t="shared" si="55"/>
        <v>483.75191536516172</v>
      </c>
      <c r="AR38" s="75">
        <f>SIM_BASE!H49</f>
        <v>411.75481568968223</v>
      </c>
      <c r="AS38" s="74">
        <f>SIM_BASE!K49</f>
        <v>84.505992947425241</v>
      </c>
      <c r="AT38" s="74">
        <f>SIM_BASE!L49</f>
        <v>534.00988214053564</v>
      </c>
      <c r="AU38" s="74">
        <f>SIM_BASE!M49</f>
        <v>52.421754279518424</v>
      </c>
      <c r="AV38" s="95">
        <f t="shared" si="56"/>
        <v>670.9376293674793</v>
      </c>
      <c r="AW38" s="74">
        <f>SIM_BASE!N49</f>
        <v>41.872636683595687</v>
      </c>
      <c r="AX38" s="74">
        <f>SIM_BASE!O49</f>
        <v>4154.2627038284345</v>
      </c>
      <c r="AY38" s="98">
        <f t="shared" si="57"/>
        <v>4196.1353405120299</v>
      </c>
      <c r="AZ38" s="72">
        <f>SIM_BASE!V49</f>
        <v>-70.000352538830668</v>
      </c>
      <c r="BA38" s="72">
        <f>SIM_BASE!W49</f>
        <v>-114.06860882058261</v>
      </c>
      <c r="BB38" s="72">
        <f>SIM_BASE!X49</f>
        <v>-3.113752642904374</v>
      </c>
      <c r="BC38" s="88">
        <f t="shared" si="58"/>
        <v>-187.18271400231765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9"/>
        <v>3.0000000000000001E-3</v>
      </c>
      <c r="BI38" s="75">
        <f>SIM_BASE!U49</f>
        <v>-3784.3795248223473</v>
      </c>
      <c r="BJ38" s="72">
        <f t="shared" si="14"/>
        <v>-1.999999999990564E-3</v>
      </c>
      <c r="BK38" s="72">
        <f t="shared" si="15"/>
        <v>-1.9999999999052989E-3</v>
      </c>
      <c r="BL38" s="72">
        <f t="shared" si="16"/>
        <v>-2.0000000000109921E-3</v>
      </c>
      <c r="BM38" s="88">
        <f t="shared" si="60"/>
        <v>-5.999999999906855E-3</v>
      </c>
      <c r="BN38" s="73">
        <f t="shared" si="18"/>
        <v>-2.000000000862201E-3</v>
      </c>
      <c r="BO38" s="74">
        <f>SIM_BASE!AB49</f>
        <v>161305.67112339658</v>
      </c>
      <c r="BP38" s="74">
        <f>SIM_BASE!AC49</f>
        <v>112379.21616866079</v>
      </c>
      <c r="BQ38" s="74">
        <f>SIM_BASE!AD49</f>
        <v>99155.0919262916</v>
      </c>
      <c r="BR38" s="95">
        <f t="shared" si="61"/>
        <v>117508.3767867594</v>
      </c>
      <c r="BS38" s="75">
        <f>SIM_BASE!AE49</f>
        <v>8560.3299245296512</v>
      </c>
    </row>
    <row r="39" spans="1:71">
      <c r="A39" s="348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48">
        <v>2</v>
      </c>
      <c r="AL39" s="81">
        <v>2025</v>
      </c>
      <c r="AM39" s="81" t="s">
        <v>1</v>
      </c>
      <c r="AN39" s="74">
        <f>SIM_BASE!E56</f>
        <v>14.961033006576354</v>
      </c>
      <c r="AO39" s="74">
        <f>SIM_BASE!F56</f>
        <v>449.88802993488929</v>
      </c>
      <c r="AP39" s="74">
        <f>SIM_BASE!G56</f>
        <v>54.054949726282437</v>
      </c>
      <c r="AQ39" s="95">
        <f t="shared" si="55"/>
        <v>518.90401266774813</v>
      </c>
      <c r="AR39" s="75">
        <f>SIM_BASE!H56</f>
        <v>434.32733905603993</v>
      </c>
      <c r="AS39" s="74">
        <f>SIM_BASE!K56</f>
        <v>86.833323503621799</v>
      </c>
      <c r="AT39" s="74">
        <f>SIM_BASE!L56</f>
        <v>573.07310026103698</v>
      </c>
      <c r="AU39" s="74">
        <f>SIM_BASE!M56</f>
        <v>57.622126897240783</v>
      </c>
      <c r="AV39" s="95">
        <f t="shared" si="56"/>
        <v>717.52855066189966</v>
      </c>
      <c r="AW39" s="74">
        <f>SIM_BASE!N56</f>
        <v>43.077341590721076</v>
      </c>
      <c r="AX39" s="74">
        <f>SIM_BASE!O56</f>
        <v>4447.6551666273263</v>
      </c>
      <c r="AY39" s="98">
        <f t="shared" si="57"/>
        <v>4490.7325082180478</v>
      </c>
      <c r="AZ39" s="72">
        <f>SIM_BASE!V56</f>
        <v>-71.87129049704545</v>
      </c>
      <c r="BA39" s="72">
        <f>SIM_BASE!W56</f>
        <v>-123.18407032614726</v>
      </c>
      <c r="BB39" s="72">
        <f>SIM_BASE!X56</f>
        <v>-3.5661771709583325</v>
      </c>
      <c r="BC39" s="88">
        <f t="shared" si="58"/>
        <v>-198.62153799415103</v>
      </c>
      <c r="BD39" s="73">
        <f>SIM_BASE!Y56</f>
        <v>1E-3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9"/>
        <v>3.0000000000000001E-3</v>
      </c>
      <c r="BI39" s="75">
        <f>SIM_BASE!U56</f>
        <v>-4056.4041691620087</v>
      </c>
      <c r="BJ39" s="72">
        <f t="shared" si="14"/>
        <v>-1.999999999990564E-3</v>
      </c>
      <c r="BK39" s="72">
        <f t="shared" si="15"/>
        <v>-2.0000000004311005E-3</v>
      </c>
      <c r="BL39" s="72">
        <f t="shared" si="16"/>
        <v>-2.0000000000127685E-3</v>
      </c>
      <c r="BM39" s="88">
        <f t="shared" si="60"/>
        <v>-6.000000000434433E-3</v>
      </c>
      <c r="BN39" s="73">
        <f t="shared" si="18"/>
        <v>-1.9999999990432116E-3</v>
      </c>
      <c r="BO39" s="74">
        <f>SIM_BASE!AB56</f>
        <v>169093.63704094279</v>
      </c>
      <c r="BP39" s="74">
        <f>SIM_BASE!AC56</f>
        <v>112871.99824132569</v>
      </c>
      <c r="BQ39" s="74">
        <f>SIM_BASE!AD56</f>
        <v>98180.193710200212</v>
      </c>
      <c r="BR39" s="95">
        <f t="shared" si="61"/>
        <v>118495.93992424055</v>
      </c>
      <c r="BS39" s="75">
        <f>SIM_BASE!AE56</f>
        <v>8839.2129327624298</v>
      </c>
    </row>
    <row r="40" spans="1:71">
      <c r="A40" s="348">
        <v>2</v>
      </c>
      <c r="B40" s="81">
        <v>2026</v>
      </c>
      <c r="C40" s="81" t="s">
        <v>1</v>
      </c>
      <c r="D40" s="74">
        <v>121.92328176241284</v>
      </c>
      <c r="E40" s="74">
        <v>644.21547482822211</v>
      </c>
      <c r="F40" s="74">
        <v>59.434114702233579</v>
      </c>
      <c r="G40" s="95">
        <v>825.57287129286863</v>
      </c>
      <c r="H40" s="75">
        <v>450.59569533855711</v>
      </c>
      <c r="I40" s="74">
        <v>116.18013750771838</v>
      </c>
      <c r="J40" s="74">
        <v>675.22008781034515</v>
      </c>
      <c r="K40" s="74">
        <v>63.505554805990606</v>
      </c>
      <c r="L40" s="95">
        <v>854.90578012405422</v>
      </c>
      <c r="M40" s="74">
        <v>54.186814515069607</v>
      </c>
      <c r="N40" s="74">
        <v>6328.9862021425679</v>
      </c>
      <c r="O40" s="98">
        <v>6383.1730166576372</v>
      </c>
      <c r="P40" s="72">
        <v>5.7441442546944748</v>
      </c>
      <c r="Q40" s="72">
        <v>-31.003612982123013</v>
      </c>
      <c r="R40" s="72">
        <v>-4.0704401037570284</v>
      </c>
      <c r="S40" s="88">
        <v>-29.329908831185566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-5932.5763213190803</v>
      </c>
      <c r="Z40" s="72">
        <v>-2.0000000000180975E-3</v>
      </c>
      <c r="AA40" s="72">
        <v>-2.0000000000225384E-3</v>
      </c>
      <c r="AB40" s="72">
        <v>-1.9999999999985576E-3</v>
      </c>
      <c r="AC40" s="88">
        <v>-6.0000000000391936E-3</v>
      </c>
      <c r="AD40" s="73">
        <v>-2.0000000004074536E-3</v>
      </c>
      <c r="AE40" s="74">
        <v>120205.91107149688</v>
      </c>
      <c r="AF40" s="74">
        <v>95633.778138138819</v>
      </c>
      <c r="AG40" s="74">
        <v>92094.172992462016</v>
      </c>
      <c r="AH40" s="95">
        <v>98710.151296012991</v>
      </c>
      <c r="AI40" s="75">
        <v>9116.6764086592666</v>
      </c>
      <c r="AK40" s="348">
        <v>2</v>
      </c>
      <c r="AL40" s="81">
        <v>2026</v>
      </c>
      <c r="AM40" s="81" t="s">
        <v>1</v>
      </c>
      <c r="AN40" s="74">
        <f>SIM_BASE!E63</f>
        <v>15.42954494840088</v>
      </c>
      <c r="AO40" s="74">
        <f>SIM_BASE!F63</f>
        <v>484.52135569314828</v>
      </c>
      <c r="AP40" s="74">
        <f>SIM_BASE!G63</f>
        <v>59.741592165202313</v>
      </c>
      <c r="AQ40" s="95">
        <f t="shared" si="55"/>
        <v>559.69249280675149</v>
      </c>
      <c r="AR40" s="75">
        <f>SIM_BASE!H63</f>
        <v>459.68746120483308</v>
      </c>
      <c r="AS40" s="74">
        <f>SIM_BASE!K63</f>
        <v>89.217304953668844</v>
      </c>
      <c r="AT40" s="74">
        <f>SIM_BASE!L63</f>
        <v>618.04320040457799</v>
      </c>
      <c r="AU40" s="74">
        <f>SIM_BASE!M63</f>
        <v>63.779700831463572</v>
      </c>
      <c r="AV40" s="95">
        <f t="shared" si="56"/>
        <v>771.04020618971049</v>
      </c>
      <c r="AW40" s="74">
        <f>SIM_BASE!N63</f>
        <v>44.609332446784883</v>
      </c>
      <c r="AX40" s="74">
        <f>SIM_BASE!O63</f>
        <v>4775.4277861097125</v>
      </c>
      <c r="AY40" s="98">
        <f t="shared" si="57"/>
        <v>4820.0371185564973</v>
      </c>
      <c r="AZ40" s="72">
        <f>SIM_BASE!V63</f>
        <v>-73.786760005267965</v>
      </c>
      <c r="BA40" s="72">
        <f>SIM_BASE!W63</f>
        <v>-133.52084471142976</v>
      </c>
      <c r="BB40" s="72">
        <f>SIM_BASE!X63</f>
        <v>-4.0371086662612905</v>
      </c>
      <c r="BC40" s="88">
        <f t="shared" si="58"/>
        <v>-211.34471338295901</v>
      </c>
      <c r="BD40" s="73">
        <f>SIM_BASE!Y63</f>
        <v>1E-3</v>
      </c>
      <c r="BE40" s="72">
        <f>SIM_BASE!R63</f>
        <v>1E-3</v>
      </c>
      <c r="BF40" s="72">
        <f>SIM_BASE!S63</f>
        <v>1E-3</v>
      </c>
      <c r="BG40" s="72">
        <f>SIM_BASE!T63</f>
        <v>1E-3</v>
      </c>
      <c r="BH40" s="88">
        <f t="shared" si="59"/>
        <v>3.0000000000000001E-3</v>
      </c>
      <c r="BI40" s="75">
        <f>SIM_BASE!U63</f>
        <v>-4360.3486573516639</v>
      </c>
      <c r="BJ40" s="72">
        <f t="shared" ref="BJ40:BJ74" si="73">AN40-AS40-AZ40-BE40</f>
        <v>-2.0000000000047749E-3</v>
      </c>
      <c r="BK40" s="72">
        <f t="shared" ref="BK40:BK74" si="74">AO40-AT40-BA40-BF40</f>
        <v>-1.9999999999479314E-3</v>
      </c>
      <c r="BL40" s="72">
        <f t="shared" ref="BL40:BL74" si="75">AP40-AU40-BB40-BG40</f>
        <v>-1.9999999999683596E-3</v>
      </c>
      <c r="BM40" s="88">
        <f t="shared" si="60"/>
        <v>-5.9999999999210659E-3</v>
      </c>
      <c r="BN40" s="73">
        <f t="shared" ref="BN40:BN74" si="76">AR40-AW40-AX40-BD40-BI40</f>
        <v>-2.0000000004074536E-3</v>
      </c>
      <c r="BO40" s="74">
        <f>SIM_BASE!AB63</f>
        <v>177008.2830508659</v>
      </c>
      <c r="BP40" s="74">
        <f>SIM_BASE!AC63</f>
        <v>112477.25630017111</v>
      </c>
      <c r="BQ40" s="74">
        <f>SIM_BASE!AD63</f>
        <v>96302.330832415959</v>
      </c>
      <c r="BR40" s="95">
        <f t="shared" si="61"/>
        <v>118606.18751199267</v>
      </c>
      <c r="BS40" s="75">
        <f>SIM_BASE!AE63</f>
        <v>9116.8499007365408</v>
      </c>
    </row>
    <row r="41" spans="1:71">
      <c r="A41" s="348">
        <v>2</v>
      </c>
      <c r="B41" s="81">
        <v>2027</v>
      </c>
      <c r="C41" s="81" t="s">
        <v>1</v>
      </c>
      <c r="D41" s="74">
        <v>125.70780062095297</v>
      </c>
      <c r="E41" s="74">
        <v>697.74539200982167</v>
      </c>
      <c r="F41" s="74">
        <v>66.475763452650199</v>
      </c>
      <c r="G41" s="95">
        <v>889.92895608342485</v>
      </c>
      <c r="H41" s="75">
        <v>479.3076291146391</v>
      </c>
      <c r="I41" s="74">
        <v>119.0369441041003</v>
      </c>
      <c r="J41" s="74">
        <v>731.7022119954737</v>
      </c>
      <c r="K41" s="74">
        <v>70.52585256478902</v>
      </c>
      <c r="L41" s="95">
        <v>921.26500866436299</v>
      </c>
      <c r="M41" s="74">
        <v>55.966388264871782</v>
      </c>
      <c r="N41" s="74">
        <v>6791.7042566802247</v>
      </c>
      <c r="O41" s="98">
        <v>6847.6706449450967</v>
      </c>
      <c r="P41" s="72">
        <v>6.6718565168527979</v>
      </c>
      <c r="Q41" s="72">
        <v>-33.955819985652155</v>
      </c>
      <c r="R41" s="72">
        <v>-4.0490891121388186</v>
      </c>
      <c r="S41" s="88">
        <v>-31.333052580938176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-6368.3620158304566</v>
      </c>
      <c r="Z41" s="72">
        <v>-2.0000000001317844E-3</v>
      </c>
      <c r="AA41" s="72">
        <v>-1.9999999998768772E-3</v>
      </c>
      <c r="AB41" s="72">
        <v>-2.0000000000021103E-3</v>
      </c>
      <c r="AC41" s="88">
        <v>-6.0000000000107719E-3</v>
      </c>
      <c r="AD41" s="73">
        <v>-2.0000000013169483E-3</v>
      </c>
      <c r="AE41" s="74">
        <v>126380.874148805</v>
      </c>
      <c r="AF41" s="74">
        <v>94721.87154067769</v>
      </c>
      <c r="AG41" s="74">
        <v>89949.711202382212</v>
      </c>
      <c r="AH41" s="95">
        <v>98447.216816079788</v>
      </c>
      <c r="AI41" s="75">
        <v>9404.4871454133263</v>
      </c>
      <c r="AK41" s="348">
        <v>2</v>
      </c>
      <c r="AL41" s="81">
        <v>2027</v>
      </c>
      <c r="AM41" s="81" t="s">
        <v>1</v>
      </c>
      <c r="AN41" s="74">
        <f>SIM_BASE!E70</f>
        <v>15.898599168339661</v>
      </c>
      <c r="AO41" s="74">
        <f>SIM_BASE!F70</f>
        <v>524.78343850282681</v>
      </c>
      <c r="AP41" s="74">
        <f>SIM_BASE!G70</f>
        <v>66.556434768693919</v>
      </c>
      <c r="AQ41" s="95">
        <f t="shared" si="55"/>
        <v>607.23847243986029</v>
      </c>
      <c r="AR41" s="75">
        <f>SIM_BASE!H70</f>
        <v>488.52452202823252</v>
      </c>
      <c r="AS41" s="74">
        <f>SIM_BASE!K70</f>
        <v>91.658792932063108</v>
      </c>
      <c r="AT41" s="74">
        <f>SIM_BASE!L70</f>
        <v>669.56720730994721</v>
      </c>
      <c r="AU41" s="74">
        <f>SIM_BASE!M70</f>
        <v>71.089848669781077</v>
      </c>
      <c r="AV41" s="95">
        <f t="shared" si="56"/>
        <v>832.31584891179136</v>
      </c>
      <c r="AW41" s="74">
        <f>SIM_BASE!N70</f>
        <v>46.460549472003592</v>
      </c>
      <c r="AX41" s="74">
        <f>SIM_BASE!O70</f>
        <v>5141.935467682144</v>
      </c>
      <c r="AY41" s="98">
        <f t="shared" si="57"/>
        <v>5188.3960171541476</v>
      </c>
      <c r="AZ41" s="72">
        <f>SIM_BASE!V70</f>
        <v>-75.759193763723445</v>
      </c>
      <c r="BA41" s="72">
        <f>SIM_BASE!W70</f>
        <v>-144.78276880712079</v>
      </c>
      <c r="BB41" s="72">
        <f>SIM_BASE!X70</f>
        <v>-4.5324139010871116</v>
      </c>
      <c r="BC41" s="88">
        <f t="shared" si="58"/>
        <v>-225.07437647193137</v>
      </c>
      <c r="BD41" s="73">
        <f>SIM_BASE!Y70</f>
        <v>1E-3</v>
      </c>
      <c r="BE41" s="72">
        <f>SIM_BASE!R70</f>
        <v>1E-3</v>
      </c>
      <c r="BF41" s="72">
        <f>SIM_BASE!S70</f>
        <v>1E-3</v>
      </c>
      <c r="BG41" s="72">
        <f>SIM_BASE!T70</f>
        <v>1E-3</v>
      </c>
      <c r="BH41" s="88">
        <f t="shared" si="59"/>
        <v>3.0000000000000001E-3</v>
      </c>
      <c r="BI41" s="75">
        <f>SIM_BASE!U70</f>
        <v>-4699.8704951259151</v>
      </c>
      <c r="BJ41" s="72">
        <f t="shared" si="73"/>
        <v>-2.0000000000047749E-3</v>
      </c>
      <c r="BK41" s="72">
        <f t="shared" si="74"/>
        <v>-1.9999999996068709E-3</v>
      </c>
      <c r="BL41" s="72">
        <f t="shared" si="75"/>
        <v>-2.0000000000465193E-3</v>
      </c>
      <c r="BM41" s="88">
        <f t="shared" si="60"/>
        <v>-5.9999999996581651E-3</v>
      </c>
      <c r="BN41" s="73">
        <f t="shared" si="76"/>
        <v>-2.0000000004074536E-3</v>
      </c>
      <c r="BO41" s="74">
        <f>SIM_BASE!AB70</f>
        <v>185033.13851130597</v>
      </c>
      <c r="BP41" s="74">
        <f>SIM_BASE!AC70</f>
        <v>111275.24914874611</v>
      </c>
      <c r="BQ41" s="74">
        <f>SIM_BASE!AD70</f>
        <v>93579.354960587953</v>
      </c>
      <c r="BR41" s="95">
        <f t="shared" si="61"/>
        <v>117886.39403499401</v>
      </c>
      <c r="BS41" s="75">
        <f>SIM_BASE!AE70</f>
        <v>9404.6467928355305</v>
      </c>
    </row>
    <row r="42" spans="1:71">
      <c r="A42" s="348">
        <v>2</v>
      </c>
      <c r="B42" s="81">
        <v>2028</v>
      </c>
      <c r="C42" s="81" t="s">
        <v>1</v>
      </c>
      <c r="D42" s="74">
        <v>129.62803752778191</v>
      </c>
      <c r="E42" s="74">
        <v>760.02436081937913</v>
      </c>
      <c r="F42" s="74">
        <v>77.14796414983978</v>
      </c>
      <c r="G42" s="95">
        <v>966.80036249700083</v>
      </c>
      <c r="H42" s="75">
        <v>512.70446632624885</v>
      </c>
      <c r="I42" s="74">
        <v>121.93357626211407</v>
      </c>
      <c r="J42" s="74">
        <v>796.69944631949102</v>
      </c>
      <c r="K42" s="74">
        <v>76.852011592043112</v>
      </c>
      <c r="L42" s="95">
        <v>995.48503417364827</v>
      </c>
      <c r="M42" s="74">
        <v>57.784555778087423</v>
      </c>
      <c r="N42" s="74">
        <v>7358.702441314852</v>
      </c>
      <c r="O42" s="98">
        <v>7416.4869970929394</v>
      </c>
      <c r="P42" s="72">
        <v>7.6954612656678405</v>
      </c>
      <c r="Q42" s="72">
        <v>-36.674085500112255</v>
      </c>
      <c r="R42" s="72">
        <v>0.29695255779665619</v>
      </c>
      <c r="S42" s="88">
        <v>-28.681671676647756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-6903.7815307666897</v>
      </c>
      <c r="Z42" s="72">
        <v>-2.000000000000334E-3</v>
      </c>
      <c r="AA42" s="72">
        <v>-1.9999999996352926E-3</v>
      </c>
      <c r="AB42" s="72">
        <v>-1.9999999999888987E-3</v>
      </c>
      <c r="AC42" s="88">
        <v>-5.9999999996245253E-3</v>
      </c>
      <c r="AD42" s="73">
        <v>-2.0000000013169483E-3</v>
      </c>
      <c r="AE42" s="74">
        <v>132870.48477614787</v>
      </c>
      <c r="AF42" s="74">
        <v>93334.105000268552</v>
      </c>
      <c r="AG42" s="74">
        <v>90339.255641652475</v>
      </c>
      <c r="AH42" s="95">
        <v>97945.57762247225</v>
      </c>
      <c r="AI42" s="75">
        <v>9702.8328383499756</v>
      </c>
      <c r="AK42" s="348">
        <v>2</v>
      </c>
      <c r="AL42" s="81">
        <v>2028</v>
      </c>
      <c r="AM42" s="81" t="s">
        <v>1</v>
      </c>
      <c r="AN42" s="74">
        <f>SIM_BASE!E77</f>
        <v>16.390815938677562</v>
      </c>
      <c r="AO42" s="74">
        <f>SIM_BASE!F77</f>
        <v>571.48765276766983</v>
      </c>
      <c r="AP42" s="74">
        <f>SIM_BASE!G77</f>
        <v>74.914044300542486</v>
      </c>
      <c r="AQ42" s="95">
        <f t="shared" si="55"/>
        <v>662.79251300688986</v>
      </c>
      <c r="AR42" s="75">
        <f>SIM_BASE!H77</f>
        <v>521.5916132913992</v>
      </c>
      <c r="AS42" s="74">
        <f>SIM_BASE!K77</f>
        <v>94.165369345070744</v>
      </c>
      <c r="AT42" s="74">
        <f>SIM_BASE!L77</f>
        <v>728.89003502588162</v>
      </c>
      <c r="AU42" s="74">
        <f>SIM_BASE!M77</f>
        <v>79.626178756079995</v>
      </c>
      <c r="AV42" s="95">
        <f t="shared" si="56"/>
        <v>902.68158312703235</v>
      </c>
      <c r="AW42" s="74">
        <f>SIM_BASE!N77</f>
        <v>48.495294898345286</v>
      </c>
      <c r="AX42" s="74">
        <f>SIM_BASE!O77</f>
        <v>5561.9941187133936</v>
      </c>
      <c r="AY42" s="98">
        <f t="shared" si="57"/>
        <v>5610.4894136117391</v>
      </c>
      <c r="AZ42" s="72">
        <f>SIM_BASE!V77</f>
        <v>-77.773553406393177</v>
      </c>
      <c r="BA42" s="72">
        <f>SIM_BASE!W77</f>
        <v>-157.40138225821175</v>
      </c>
      <c r="BB42" s="72">
        <f>SIM_BASE!X77</f>
        <v>-4.7111344555375325</v>
      </c>
      <c r="BC42" s="88">
        <f t="shared" si="58"/>
        <v>-239.88607012014245</v>
      </c>
      <c r="BD42" s="73">
        <f>SIM_BASE!Y77</f>
        <v>1E-3</v>
      </c>
      <c r="BE42" s="72">
        <f>SIM_BASE!R77</f>
        <v>1E-3</v>
      </c>
      <c r="BF42" s="72">
        <f>SIM_BASE!S77</f>
        <v>1E-3</v>
      </c>
      <c r="BG42" s="72">
        <f>SIM_BASE!T77</f>
        <v>1E-3</v>
      </c>
      <c r="BH42" s="88">
        <f t="shared" si="59"/>
        <v>3.0000000000000001E-3</v>
      </c>
      <c r="BI42" s="75">
        <f>SIM_BASE!U77</f>
        <v>-5088.8968003203408</v>
      </c>
      <c r="BJ42" s="72">
        <f t="shared" si="73"/>
        <v>-2.0000000000047749E-3</v>
      </c>
      <c r="BK42" s="72">
        <f t="shared" si="74"/>
        <v>-2.0000000000331966E-3</v>
      </c>
      <c r="BL42" s="72">
        <f t="shared" si="75"/>
        <v>-1.9999999999763532E-3</v>
      </c>
      <c r="BM42" s="88">
        <f t="shared" si="60"/>
        <v>-6.0000000000143246E-3</v>
      </c>
      <c r="BN42" s="73">
        <f t="shared" si="76"/>
        <v>-1.9999999985884642E-3</v>
      </c>
      <c r="BO42" s="74">
        <f>SIM_BASE!AB77</f>
        <v>193376.3513068278</v>
      </c>
      <c r="BP42" s="74">
        <f>SIM_BASE!AC77</f>
        <v>109332.1295343471</v>
      </c>
      <c r="BQ42" s="74">
        <f>SIM_BASE!AD77</f>
        <v>90351.128235216689</v>
      </c>
      <c r="BR42" s="95">
        <f t="shared" si="61"/>
        <v>116425.07426900188</v>
      </c>
      <c r="BS42" s="75">
        <f>SIM_BASE!AE77</f>
        <v>9702.9915401765775</v>
      </c>
    </row>
    <row r="43" spans="1:71">
      <c r="A43" s="496">
        <v>2</v>
      </c>
      <c r="B43" s="81">
        <v>2029</v>
      </c>
      <c r="C43" s="81" t="s">
        <v>1</v>
      </c>
      <c r="D43" s="74">
        <v>133.70793300161228</v>
      </c>
      <c r="E43" s="74">
        <v>832.78849934730999</v>
      </c>
      <c r="F43" s="74">
        <v>89.051331494632777</v>
      </c>
      <c r="G43" s="95">
        <v>1055.547763843555</v>
      </c>
      <c r="H43" s="75">
        <v>550.31543528554539</v>
      </c>
      <c r="I43" s="74">
        <v>124.82056916410241</v>
      </c>
      <c r="J43" s="74">
        <v>870.932913808904</v>
      </c>
      <c r="K43" s="74">
        <v>85.357899819288832</v>
      </c>
      <c r="L43" s="95">
        <v>1081.1113827922952</v>
      </c>
      <c r="M43" s="74">
        <v>60.16798852629568</v>
      </c>
      <c r="N43" s="74">
        <v>7973.618697349355</v>
      </c>
      <c r="O43" s="98">
        <v>8033.7866858756506</v>
      </c>
      <c r="P43" s="72">
        <v>8.8883638375099583</v>
      </c>
      <c r="Q43" s="72">
        <v>-38.143414461594269</v>
      </c>
      <c r="R43" s="72">
        <v>3.3947529598135788</v>
      </c>
      <c r="S43" s="88">
        <v>-25.860297664270732</v>
      </c>
      <c r="T43" s="73">
        <v>1E-3</v>
      </c>
      <c r="U43" s="72">
        <v>1E-3</v>
      </c>
      <c r="V43" s="72">
        <v>1E-3</v>
      </c>
      <c r="W43" s="72">
        <v>0.30067871553038233</v>
      </c>
      <c r="X43" s="88">
        <v>0.30267871553038234</v>
      </c>
      <c r="Y43" s="75">
        <v>-7483.4702505901041</v>
      </c>
      <c r="Z43" s="72">
        <v>-2.0000000000918164E-3</v>
      </c>
      <c r="AA43" s="72">
        <v>-1.9999999997418741E-3</v>
      </c>
      <c r="AB43" s="72">
        <v>-2.0000000000164886E-3</v>
      </c>
      <c r="AC43" s="88">
        <v>-5.999999999850179E-3</v>
      </c>
      <c r="AD43" s="73">
        <v>-2.0000000013169483E-3</v>
      </c>
      <c r="AE43" s="74">
        <v>139518.94001767412</v>
      </c>
      <c r="AF43" s="74">
        <v>91274.216553713253</v>
      </c>
      <c r="AG43" s="74">
        <v>88365.925283200995</v>
      </c>
      <c r="AH43" s="95">
        <v>96614.728455558492</v>
      </c>
      <c r="AI43" s="75">
        <v>10012.115998607609</v>
      </c>
      <c r="AK43" s="496">
        <v>2</v>
      </c>
      <c r="AL43" s="81">
        <v>2029</v>
      </c>
      <c r="AM43" s="81" t="s">
        <v>1</v>
      </c>
      <c r="AN43" s="74">
        <f>SIM_BASE!E84</f>
        <v>16.909717053303499</v>
      </c>
      <c r="AO43" s="74">
        <f>SIM_BASE!F84</f>
        <v>625.87535283725811</v>
      </c>
      <c r="AP43" s="74">
        <f>SIM_BASE!G84</f>
        <v>88.25242217537955</v>
      </c>
      <c r="AQ43" s="95">
        <f t="shared" si="55"/>
        <v>731.03749206594125</v>
      </c>
      <c r="AR43" s="75">
        <f>SIM_BASE!H84</f>
        <v>560.63244597059725</v>
      </c>
      <c r="AS43" s="74">
        <f>SIM_BASE!K84</f>
        <v>96.744507435592155</v>
      </c>
      <c r="AT43" s="74">
        <f>SIM_BASE!L84</f>
        <v>797.49000520716402</v>
      </c>
      <c r="AU43" s="74">
        <f>SIM_BASE!M84</f>
        <v>86.835391792381586</v>
      </c>
      <c r="AV43" s="95">
        <f t="shared" si="56"/>
        <v>981.06990443513769</v>
      </c>
      <c r="AW43" s="74">
        <f>SIM_BASE!N84</f>
        <v>50.260215394249158</v>
      </c>
      <c r="AX43" s="74">
        <f>SIM_BASE!O84</f>
        <v>6113.712991757443</v>
      </c>
      <c r="AY43" s="98">
        <f t="shared" si="57"/>
        <v>6163.9732071516919</v>
      </c>
      <c r="AZ43" s="72">
        <f>SIM_BASE!V84</f>
        <v>-79.833790382288669</v>
      </c>
      <c r="BA43" s="72">
        <f>SIM_BASE!W84</f>
        <v>-171.61365236990599</v>
      </c>
      <c r="BB43" s="72">
        <f>SIM_BASE!X84</f>
        <v>1.4180303829979857</v>
      </c>
      <c r="BC43" s="88">
        <f t="shared" si="58"/>
        <v>-250.02941236919668</v>
      </c>
      <c r="BD43" s="73">
        <f>SIM_BASE!Y84</f>
        <v>1E-3</v>
      </c>
      <c r="BE43" s="72">
        <f>SIM_BASE!R84</f>
        <v>1E-3</v>
      </c>
      <c r="BF43" s="72">
        <f>SIM_BASE!S84</f>
        <v>1E-3</v>
      </c>
      <c r="BG43" s="72">
        <f>SIM_BASE!T84</f>
        <v>1E-3</v>
      </c>
      <c r="BH43" s="88">
        <f t="shared" si="59"/>
        <v>3.0000000000000001E-3</v>
      </c>
      <c r="BI43" s="75">
        <f>SIM_BASE!U84</f>
        <v>-5603.3397611810951</v>
      </c>
      <c r="BJ43" s="72">
        <f t="shared" si="73"/>
        <v>-1.999999999990564E-3</v>
      </c>
      <c r="BK43" s="72">
        <f t="shared" si="74"/>
        <v>-1.9999999999195097E-3</v>
      </c>
      <c r="BL43" s="72">
        <f t="shared" si="75"/>
        <v>-2.0000000000212062E-3</v>
      </c>
      <c r="BM43" s="88">
        <f t="shared" si="60"/>
        <v>-5.9999999999312799E-3</v>
      </c>
      <c r="BN43" s="73">
        <f t="shared" si="76"/>
        <v>-1.9999999994979589E-3</v>
      </c>
      <c r="BO43" s="74">
        <f>SIM_BASE!AB84</f>
        <v>202444.66119714896</v>
      </c>
      <c r="BP43" s="74">
        <f>SIM_BASE!AC84</f>
        <v>107008.84650807414</v>
      </c>
      <c r="BQ43" s="74">
        <f>SIM_BASE!AD84</f>
        <v>90717.549284343302</v>
      </c>
      <c r="BR43" s="95">
        <f t="shared" si="61"/>
        <v>114977.93176003857</v>
      </c>
      <c r="BS43" s="75">
        <f>SIM_BASE!AE84</f>
        <v>10012.274836182163</v>
      </c>
    </row>
    <row r="44" spans="1:71" ht="17" thickBot="1">
      <c r="A44" s="382">
        <v>2</v>
      </c>
      <c r="B44" s="82">
        <v>2030</v>
      </c>
      <c r="C44" s="82" t="s">
        <v>228</v>
      </c>
      <c r="D44" s="78">
        <v>135.36344853395812</v>
      </c>
      <c r="E44" s="78">
        <v>166.50134467564547</v>
      </c>
      <c r="F44" s="78">
        <v>16.940534018530357</v>
      </c>
      <c r="G44" s="96">
        <v>318.80532722813393</v>
      </c>
      <c r="H44" s="79">
        <v>704.1889446688192</v>
      </c>
      <c r="I44" s="78">
        <v>165.3622043249477</v>
      </c>
      <c r="J44" s="78">
        <v>229.89586244858347</v>
      </c>
      <c r="K44" s="78">
        <v>20.334286978343936</v>
      </c>
      <c r="L44" s="96">
        <v>415.59235375187507</v>
      </c>
      <c r="M44" s="78">
        <v>43.867695317467366</v>
      </c>
      <c r="N44" s="78">
        <v>2096.3125549571055</v>
      </c>
      <c r="O44" s="99">
        <v>2140.1802502745727</v>
      </c>
      <c r="P44" s="76">
        <v>-29.99775579098954</v>
      </c>
      <c r="Q44" s="76">
        <v>-63.393517772937997</v>
      </c>
      <c r="R44" s="76">
        <v>-3.3927529598135791</v>
      </c>
      <c r="S44" s="89">
        <v>-96.784026523741119</v>
      </c>
      <c r="T44" s="77">
        <v>1E-3</v>
      </c>
      <c r="U44" s="76">
        <v>1E-3</v>
      </c>
      <c r="V44" s="76">
        <v>1E-3</v>
      </c>
      <c r="W44" s="76">
        <v>1E-3</v>
      </c>
      <c r="X44" s="89">
        <v>3.0000000000000001E-3</v>
      </c>
      <c r="Y44" s="79">
        <v>-1435.9903056057542</v>
      </c>
      <c r="Z44" s="72">
        <v>-2.0000000000367493E-3</v>
      </c>
      <c r="AA44" s="72">
        <v>-2.0000000000047749E-3</v>
      </c>
      <c r="AB44" s="72">
        <v>-1.9999999999998899E-3</v>
      </c>
      <c r="AC44" s="88">
        <v>-6.000000000041414E-3</v>
      </c>
      <c r="AD44" s="73">
        <v>-1.9999999992705852E-3</v>
      </c>
      <c r="AE44" s="78">
        <v>140725.24766572265</v>
      </c>
      <c r="AF44" s="78">
        <v>91782.695077376615</v>
      </c>
      <c r="AG44" s="78">
        <v>89708.905283200962</v>
      </c>
      <c r="AH44" s="96">
        <v>111155.23471100487</v>
      </c>
      <c r="AI44" s="79">
        <v>10407.27060951123</v>
      </c>
      <c r="AK44" s="382">
        <v>2</v>
      </c>
      <c r="AL44" s="82">
        <v>2030</v>
      </c>
      <c r="AM44" s="82" t="s">
        <v>228</v>
      </c>
      <c r="AN44" s="74">
        <f>SIM_BASE!E85</f>
        <v>117.08428961783672</v>
      </c>
      <c r="AO44" s="74">
        <f>SIM_BASE!F85</f>
        <v>173.47070842637493</v>
      </c>
      <c r="AP44" s="74">
        <f>SIM_BASE!G85</f>
        <v>16.787728173541698</v>
      </c>
      <c r="AQ44" s="95">
        <f t="shared" ref="AQ44" si="77">SUM(AN44:AP44)</f>
        <v>307.34272621775335</v>
      </c>
      <c r="AR44" s="75">
        <f>SIM_BASE!H85</f>
        <v>717.08454473884296</v>
      </c>
      <c r="AS44" s="74">
        <f>SIM_BASE!K85</f>
        <v>119.88855623366058</v>
      </c>
      <c r="AT44" s="74">
        <f>SIM_BASE!L85</f>
        <v>207.84384697701273</v>
      </c>
      <c r="AU44" s="74">
        <f>SIM_BASE!M85</f>
        <v>20.735707299781662</v>
      </c>
      <c r="AV44" s="95">
        <f t="shared" ref="AV44" si="78">SUM(AS44:AU44)</f>
        <v>348.46811051045495</v>
      </c>
      <c r="AW44" s="74">
        <f>SIM_BASE!N85</f>
        <v>56.884612332087372</v>
      </c>
      <c r="AX44" s="74">
        <f>SIM_BASE!O85</f>
        <v>2225.9424903903578</v>
      </c>
      <c r="AY44" s="98">
        <f t="shared" ref="AY44" si="79">SUM(AW44:AX44)</f>
        <v>2282.827102722445</v>
      </c>
      <c r="AZ44" s="72">
        <f>SIM_BASE!V85</f>
        <v>-2.8032666158238864</v>
      </c>
      <c r="BA44" s="72">
        <f>SIM_BASE!W85</f>
        <v>-34.372138550637587</v>
      </c>
      <c r="BB44" s="72">
        <f>SIM_BASE!X85</f>
        <v>-3.9469791262399632</v>
      </c>
      <c r="BC44" s="88">
        <f t="shared" ref="BC44" si="80">SUM(AZ44:BB44)</f>
        <v>-41.12238429270144</v>
      </c>
      <c r="BD44" s="73">
        <f>SIM_BASE!Y85</f>
        <v>1E-3</v>
      </c>
      <c r="BE44" s="72">
        <f>SIM_BASE!R85</f>
        <v>1E-3</v>
      </c>
      <c r="BF44" s="72">
        <f>SIM_BASE!S85</f>
        <v>1E-3</v>
      </c>
      <c r="BG44" s="72">
        <f>SIM_BASE!T85</f>
        <v>1E-3</v>
      </c>
      <c r="BH44" s="88">
        <f t="shared" ref="BH44" si="81">SUM(BE44:BG44)</f>
        <v>3.0000000000000001E-3</v>
      </c>
      <c r="BI44" s="75">
        <f>SIM_BASE!U85</f>
        <v>-1565.741557983602</v>
      </c>
      <c r="BJ44" s="72">
        <f t="shared" ref="BJ44" si="82">AN44-AS44-AZ44-BE44</f>
        <v>-1.9999999999767972E-3</v>
      </c>
      <c r="BK44" s="72">
        <f t="shared" ref="BK44" si="83">AO44-AT44-BA44-BF44</f>
        <v>-2.0000000002179377E-3</v>
      </c>
      <c r="BL44" s="72">
        <f t="shared" ref="BL44" si="84">AP44-AU44-BB44-BG44</f>
        <v>-2.0000000000012222E-3</v>
      </c>
      <c r="BM44" s="88">
        <f t="shared" ref="BM44" si="85">SUM(BJ44:BL44)</f>
        <v>-6.0000000001959571E-3</v>
      </c>
      <c r="BN44" s="73">
        <f t="shared" ref="BN44" si="86">AR44-AW44-AX44-BD44-BI44</f>
        <v>-2.00000000018008E-3</v>
      </c>
      <c r="BO44" s="74">
        <f>SIM_BASE!AB85</f>
        <v>208976.42877364546</v>
      </c>
      <c r="BP44" s="74">
        <f>SIM_BASE!AC85</f>
        <v>107175.61581510919</v>
      </c>
      <c r="BQ44" s="74">
        <f>SIM_BASE!AD85</f>
        <v>92059.319127955358</v>
      </c>
      <c r="BR44" s="95">
        <f t="shared" ref="BR44" si="87">SUMPRODUCT(BO44:BQ44,AS44:AU44)/AV44</f>
        <v>141300.13116324629</v>
      </c>
      <c r="BS44" s="75">
        <f>SIM_BASE!AE85</f>
        <v>10407.080335652699</v>
      </c>
    </row>
    <row r="45" spans="1:71">
      <c r="A45" s="347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47">
        <v>3</v>
      </c>
      <c r="AL45" s="80">
        <v>2018</v>
      </c>
      <c r="AM45" s="80" t="s">
        <v>2</v>
      </c>
      <c r="AN45" s="70">
        <f>SIM_BASE!E8</f>
        <v>97.0432125901619</v>
      </c>
      <c r="AO45" s="70">
        <f>SIM_BASE!F8</f>
        <v>82.811970084565999</v>
      </c>
      <c r="AP45" s="70">
        <f>SIM_BASE!G8</f>
        <v>6.430958799904948</v>
      </c>
      <c r="AQ45" s="94">
        <f t="shared" si="55"/>
        <v>186.28614147463284</v>
      </c>
      <c r="AR45" s="71">
        <f>SIM_BASE!H8</f>
        <v>430.27491767376716</v>
      </c>
      <c r="AS45" s="70">
        <f>SIM_BASE!K8</f>
        <v>101.39359082091103</v>
      </c>
      <c r="AT45" s="70">
        <f>SIM_BASE!L8</f>
        <v>88.501306752352832</v>
      </c>
      <c r="AU45" s="70">
        <f>SIM_BASE!M8</f>
        <v>6.7414787438819692</v>
      </c>
      <c r="AV45" s="94">
        <f t="shared" si="56"/>
        <v>196.63637631714582</v>
      </c>
      <c r="AW45" s="70">
        <f>SIM_BASE!N8</f>
        <v>30.359288697347235</v>
      </c>
      <c r="AX45" s="70">
        <f>SIM_BASE!O8</f>
        <v>1182.1128043851922</v>
      </c>
      <c r="AY45" s="97">
        <f t="shared" si="57"/>
        <v>1212.4720930825395</v>
      </c>
      <c r="AZ45" s="68">
        <f>SIM_BASE!V8</f>
        <v>-4.3493782307491111</v>
      </c>
      <c r="BA45" s="68">
        <f>SIM_BASE!W8</f>
        <v>-5.6883366677869072</v>
      </c>
      <c r="BB45" s="68">
        <f>SIM_BASE!X8</f>
        <v>-0.30951994397702032</v>
      </c>
      <c r="BC45" s="87">
        <f t="shared" si="58"/>
        <v>-10.347234842513039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9"/>
        <v>3.0000000000000001E-3</v>
      </c>
      <c r="BI45" s="71">
        <f>SIM_BASE!U8</f>
        <v>-782.19617540877221</v>
      </c>
      <c r="BJ45" s="68">
        <f t="shared" si="73"/>
        <v>-2.0000000000180975E-3</v>
      </c>
      <c r="BK45" s="68">
        <f t="shared" si="74"/>
        <v>-1.999999999925727E-3</v>
      </c>
      <c r="BL45" s="68">
        <f t="shared" si="75"/>
        <v>-2.0000000000008891E-3</v>
      </c>
      <c r="BM45" s="87">
        <f t="shared" si="60"/>
        <v>-5.9999999999447136E-3</v>
      </c>
      <c r="BN45" s="69">
        <f t="shared" si="76"/>
        <v>-2.0000000000663931E-3</v>
      </c>
      <c r="BO45" s="70">
        <f>SIM_BASE!AB8</f>
        <v>79612.218468440988</v>
      </c>
      <c r="BP45" s="70">
        <f>SIM_BASE!AC8</f>
        <v>80542.744492646016</v>
      </c>
      <c r="BQ45" s="70">
        <f>SIM_BASE!AD8</f>
        <v>85054.807221471885</v>
      </c>
      <c r="BR45" s="94">
        <f t="shared" si="61"/>
        <v>80217.619502212416</v>
      </c>
      <c r="BS45" s="71">
        <f>SIM_BASE!AE8</f>
        <v>7388.6490268978041</v>
      </c>
    </row>
    <row r="46" spans="1:71">
      <c r="A46" s="348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48">
        <v>3</v>
      </c>
      <c r="AL46" s="81">
        <v>2019</v>
      </c>
      <c r="AM46" s="81" t="s">
        <v>2</v>
      </c>
      <c r="AN46" s="74">
        <f>SIM_BASE!E15</f>
        <v>83.138746843450406</v>
      </c>
      <c r="AO46" s="74">
        <f>SIM_BASE!F15</f>
        <v>79.450285185623017</v>
      </c>
      <c r="AP46" s="74">
        <f>SIM_BASE!G15</f>
        <v>6.9747877854562628</v>
      </c>
      <c r="AQ46" s="95">
        <f t="shared" si="55"/>
        <v>169.56381981452969</v>
      </c>
      <c r="AR46" s="75">
        <f>SIM_BASE!H15</f>
        <v>428.32083878628384</v>
      </c>
      <c r="AS46" s="74">
        <f>SIM_BASE!K15</f>
        <v>65.269346217088312</v>
      </c>
      <c r="AT46" s="74">
        <f>SIM_BASE!L15</f>
        <v>78.905477951156669</v>
      </c>
      <c r="AU46" s="74">
        <f>SIM_BASE!M15</f>
        <v>7.6382370922186773</v>
      </c>
      <c r="AV46" s="95">
        <f t="shared" si="56"/>
        <v>151.81306126046366</v>
      </c>
      <c r="AW46" s="74">
        <f>SIM_BASE!N15</f>
        <v>38.41542915517514</v>
      </c>
      <c r="AX46" s="74">
        <f>SIM_BASE!O15</f>
        <v>1163.0842043762896</v>
      </c>
      <c r="AY46" s="98">
        <f t="shared" si="57"/>
        <v>1201.4996335314647</v>
      </c>
      <c r="AZ46" s="72">
        <f>SIM_BASE!V15</f>
        <v>17.870400626362084</v>
      </c>
      <c r="BA46" s="72">
        <f>SIM_BASE!W15</f>
        <v>0.54580723446635171</v>
      </c>
      <c r="BB46" s="72">
        <f>SIM_BASE!X15</f>
        <v>-0.66244930676241431</v>
      </c>
      <c r="BC46" s="88">
        <f t="shared" si="58"/>
        <v>17.753758554066021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9"/>
        <v>3.0000000000000001E-3</v>
      </c>
      <c r="BI46" s="75">
        <f>SIM_BASE!U15</f>
        <v>-773.1777947451809</v>
      </c>
      <c r="BJ46" s="72">
        <f t="shared" si="73"/>
        <v>-1.999999999990564E-3</v>
      </c>
      <c r="BK46" s="72">
        <f t="shared" si="74"/>
        <v>-2.0000000000044418E-3</v>
      </c>
      <c r="BL46" s="72">
        <f t="shared" si="75"/>
        <v>-2.000000000000223E-3</v>
      </c>
      <c r="BM46" s="88">
        <f t="shared" si="60"/>
        <v>-5.9999999999952288E-3</v>
      </c>
      <c r="BN46" s="73">
        <f t="shared" si="76"/>
        <v>-1.9999999999527063E-3</v>
      </c>
      <c r="BO46" s="74">
        <f>SIM_BASE!AB15</f>
        <v>115468.33818346678</v>
      </c>
      <c r="BP46" s="74">
        <f>SIM_BASE!AC15</f>
        <v>82644.759844931308</v>
      </c>
      <c r="BQ46" s="74">
        <f>SIM_BASE!AD15</f>
        <v>95301.385709961207</v>
      </c>
      <c r="BR46" s="95">
        <f t="shared" si="61"/>
        <v>97393.476386288006</v>
      </c>
      <c r="BS46" s="75">
        <f>SIM_BASE!AE15</f>
        <v>7689.6351232765537</v>
      </c>
    </row>
    <row r="47" spans="1:71">
      <c r="A47" s="348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48">
        <v>3</v>
      </c>
      <c r="AL47" s="81">
        <v>2020</v>
      </c>
      <c r="AM47" s="81" t="s">
        <v>2</v>
      </c>
      <c r="AN47" s="74">
        <f>SIM_BASE!E22</f>
        <v>88.179506784200697</v>
      </c>
      <c r="AO47" s="74">
        <f>SIM_BASE!F22</f>
        <v>92.121955029546285</v>
      </c>
      <c r="AP47" s="74">
        <f>SIM_BASE!G22</f>
        <v>7.0415305404653505</v>
      </c>
      <c r="AQ47" s="95">
        <f t="shared" si="55"/>
        <v>187.34299235421233</v>
      </c>
      <c r="AR47" s="75">
        <f>SIM_BASE!H22</f>
        <v>444.6836690411148</v>
      </c>
      <c r="AS47" s="74">
        <f>SIM_BASE!K22</f>
        <v>82.193837031769178</v>
      </c>
      <c r="AT47" s="74">
        <f>SIM_BASE!L22</f>
        <v>92.014921440090035</v>
      </c>
      <c r="AU47" s="74">
        <f>SIM_BASE!M22</f>
        <v>7.8288579995276493</v>
      </c>
      <c r="AV47" s="95">
        <f t="shared" si="56"/>
        <v>182.03761647138685</v>
      </c>
      <c r="AW47" s="74">
        <f>SIM_BASE!N22</f>
        <v>44.358249740200073</v>
      </c>
      <c r="AX47" s="74">
        <f>SIM_BASE!O22</f>
        <v>1340.1533510179358</v>
      </c>
      <c r="AY47" s="98">
        <f t="shared" si="57"/>
        <v>1384.511600758136</v>
      </c>
      <c r="AZ47" s="72">
        <f>SIM_BASE!V22</f>
        <v>5.98666975243151</v>
      </c>
      <c r="BA47" s="72">
        <f>SIM_BASE!W22</f>
        <v>0.10803358945627824</v>
      </c>
      <c r="BB47" s="72">
        <f>SIM_BASE!X22</f>
        <v>-0.78632745906229828</v>
      </c>
      <c r="BC47" s="88">
        <f t="shared" si="58"/>
        <v>5.3083758828254899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9"/>
        <v>3.0000000000000001E-3</v>
      </c>
      <c r="BI47" s="75">
        <f>SIM_BASE!U22</f>
        <v>-939.82693171702113</v>
      </c>
      <c r="BJ47" s="72">
        <f t="shared" si="73"/>
        <v>-1.999999999990564E-3</v>
      </c>
      <c r="BK47" s="72">
        <f t="shared" si="74"/>
        <v>-2.0000000000278259E-3</v>
      </c>
      <c r="BL47" s="72">
        <f t="shared" si="75"/>
        <v>-2.000000000000445E-3</v>
      </c>
      <c r="BM47" s="88">
        <f t="shared" si="60"/>
        <v>-6.0000000000188349E-3</v>
      </c>
      <c r="BN47" s="73">
        <f t="shared" si="76"/>
        <v>-1.9999999999527063E-3</v>
      </c>
      <c r="BO47" s="74">
        <f>SIM_BASE!AB22</f>
        <v>129221.99870277254</v>
      </c>
      <c r="BP47" s="74">
        <f>SIM_BASE!AC22</f>
        <v>100927.87881973507</v>
      </c>
      <c r="BQ47" s="74">
        <f>SIM_BASE!AD22</f>
        <v>95245.840304043071</v>
      </c>
      <c r="BR47" s="95">
        <f t="shared" si="61"/>
        <v>113458.90647299527</v>
      </c>
      <c r="BS47" s="75">
        <f>SIM_BASE!AE22</f>
        <v>7908.0656036307937</v>
      </c>
    </row>
    <row r="48" spans="1:71">
      <c r="A48" s="348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48">
        <v>3</v>
      </c>
      <c r="AL48" s="81">
        <v>2021</v>
      </c>
      <c r="AM48" s="81" t="s">
        <v>2</v>
      </c>
      <c r="AN48" s="74">
        <f>SIM_BASE!E29</f>
        <v>90.853983478027445</v>
      </c>
      <c r="AO48" s="74">
        <f>SIM_BASE!F29</f>
        <v>97.476852820203845</v>
      </c>
      <c r="AP48" s="74">
        <f>SIM_BASE!G29</f>
        <v>7.4668501987231188</v>
      </c>
      <c r="AQ48" s="95">
        <f t="shared" si="55"/>
        <v>195.79768649695441</v>
      </c>
      <c r="AR48" s="75">
        <f>SIM_BASE!H29</f>
        <v>461.81701873000532</v>
      </c>
      <c r="AS48" s="74">
        <f>SIM_BASE!K29</f>
        <v>86.013639422399223</v>
      </c>
      <c r="AT48" s="74">
        <f>SIM_BASE!L29</f>
        <v>97.488897332399461</v>
      </c>
      <c r="AU48" s="74">
        <f>SIM_BASE!M29</f>
        <v>8.4932034793046931</v>
      </c>
      <c r="AV48" s="95">
        <f t="shared" si="56"/>
        <v>191.99574023410338</v>
      </c>
      <c r="AW48" s="74">
        <f>SIM_BASE!N29</f>
        <v>47.020446791147478</v>
      </c>
      <c r="AX48" s="74">
        <f>SIM_BASE!O29</f>
        <v>1417.8508409799217</v>
      </c>
      <c r="AY48" s="98">
        <f t="shared" si="57"/>
        <v>1464.8712877710691</v>
      </c>
      <c r="AZ48" s="72">
        <f>SIM_BASE!V29</f>
        <v>4.8413440556282277</v>
      </c>
      <c r="BA48" s="72">
        <f>SIM_BASE!W29</f>
        <v>-1.1044512195612092E-2</v>
      </c>
      <c r="BB48" s="72">
        <f>SIM_BASE!X29</f>
        <v>-1.0253532805815737</v>
      </c>
      <c r="BC48" s="88">
        <f t="shared" si="58"/>
        <v>3.8049462628510415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9"/>
        <v>3.0000000000000001E-3</v>
      </c>
      <c r="BI48" s="75">
        <f>SIM_BASE!U29</f>
        <v>-1003.0532690410639</v>
      </c>
      <c r="BJ48" s="72">
        <f t="shared" si="73"/>
        <v>-2.000000000005663E-3</v>
      </c>
      <c r="BK48" s="72">
        <f t="shared" si="74"/>
        <v>-2.0000000000031061E-3</v>
      </c>
      <c r="BL48" s="72">
        <f t="shared" si="75"/>
        <v>-2.000000000000556E-3</v>
      </c>
      <c r="BM48" s="88">
        <f t="shared" si="60"/>
        <v>-6.0000000000093251E-3</v>
      </c>
      <c r="BN48" s="73">
        <f t="shared" si="76"/>
        <v>-1.9999999999527063E-3</v>
      </c>
      <c r="BO48" s="74">
        <f>SIM_BASE!AB29</f>
        <v>136689.13449185598</v>
      </c>
      <c r="BP48" s="74">
        <f>SIM_BASE!AC29</f>
        <v>105876.50721173284</v>
      </c>
      <c r="BQ48" s="74">
        <f>SIM_BASE!AD29</f>
        <v>97878.471242831438</v>
      </c>
      <c r="BR48" s="95">
        <f t="shared" si="61"/>
        <v>119326.68721292393</v>
      </c>
      <c r="BS48" s="75">
        <f>SIM_BASE!AE29</f>
        <v>8164.1185621549503</v>
      </c>
    </row>
    <row r="49" spans="1:71">
      <c r="A49" s="348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48">
        <v>3</v>
      </c>
      <c r="AL49" s="81">
        <v>2022</v>
      </c>
      <c r="AM49" s="81" t="s">
        <v>2</v>
      </c>
      <c r="AN49" s="74">
        <f>SIM_BASE!E36</f>
        <v>93.636062118253932</v>
      </c>
      <c r="AO49" s="74">
        <f>SIM_BASE!F36</f>
        <v>102.9487463931811</v>
      </c>
      <c r="AP49" s="74">
        <f>SIM_BASE!G36</f>
        <v>7.9898397032425086</v>
      </c>
      <c r="AQ49" s="95">
        <f t="shared" si="55"/>
        <v>204.57464821467752</v>
      </c>
      <c r="AR49" s="75">
        <f>SIM_BASE!H36</f>
        <v>481.28592549707298</v>
      </c>
      <c r="AS49" s="74">
        <f>SIM_BASE!K36</f>
        <v>89.934233103362629</v>
      </c>
      <c r="AT49" s="74">
        <f>SIM_BASE!L36</f>
        <v>104.81795602312054</v>
      </c>
      <c r="AU49" s="74">
        <f>SIM_BASE!M36</f>
        <v>9.2767904444487819</v>
      </c>
      <c r="AV49" s="95">
        <f t="shared" si="56"/>
        <v>204.02897957093197</v>
      </c>
      <c r="AW49" s="74">
        <f>SIM_BASE!N36</f>
        <v>49.23206412609261</v>
      </c>
      <c r="AX49" s="74">
        <f>SIM_BASE!O36</f>
        <v>1492.7396716957655</v>
      </c>
      <c r="AY49" s="98">
        <f t="shared" si="57"/>
        <v>1541.9717358218581</v>
      </c>
      <c r="AZ49" s="72">
        <f>SIM_BASE!V36</f>
        <v>3.7028290148913023</v>
      </c>
      <c r="BA49" s="72">
        <f>SIM_BASE!W36</f>
        <v>-1.8682096299394482</v>
      </c>
      <c r="BB49" s="72">
        <f>SIM_BASE!X36</f>
        <v>-1.2859507412062767</v>
      </c>
      <c r="BC49" s="88">
        <f t="shared" si="58"/>
        <v>0.54866864374557744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9"/>
        <v>3.0000000000000001E-3</v>
      </c>
      <c r="BI49" s="75">
        <f>SIM_BASE!U36</f>
        <v>-1060.6848103247851</v>
      </c>
      <c r="BJ49" s="72">
        <f t="shared" si="73"/>
        <v>-1.9999999999998899E-3</v>
      </c>
      <c r="BK49" s="72">
        <f t="shared" si="74"/>
        <v>-1.9999999999996678E-3</v>
      </c>
      <c r="BL49" s="72">
        <f t="shared" si="75"/>
        <v>-1.9999999999965592E-3</v>
      </c>
      <c r="BM49" s="88">
        <f t="shared" si="60"/>
        <v>-5.9999999999961169E-3</v>
      </c>
      <c r="BN49" s="73">
        <f t="shared" si="76"/>
        <v>-1.9999999999527063E-3</v>
      </c>
      <c r="BO49" s="74">
        <f>SIM_BASE!AB36</f>
        <v>144363.1106891665</v>
      </c>
      <c r="BP49" s="74">
        <f>SIM_BASE!AC36</f>
        <v>109041.1490023596</v>
      </c>
      <c r="BQ49" s="74">
        <f>SIM_BASE!AD36</f>
        <v>99667.96961932382</v>
      </c>
      <c r="BR49" s="95">
        <f t="shared" si="61"/>
        <v>124184.5885351762</v>
      </c>
      <c r="BS49" s="75">
        <f>SIM_BASE!AE36</f>
        <v>8427.9174372343496</v>
      </c>
    </row>
    <row r="50" spans="1:71">
      <c r="A50" s="348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48">
        <v>3</v>
      </c>
      <c r="AL50" s="81">
        <v>2023</v>
      </c>
      <c r="AM50" s="81" t="s">
        <v>2</v>
      </c>
      <c r="AN50" s="74">
        <f>SIM_BASE!E43</f>
        <v>96.678430785671608</v>
      </c>
      <c r="AO50" s="74">
        <f>SIM_BASE!F43</f>
        <v>109.08061993147638</v>
      </c>
      <c r="AP50" s="74">
        <f>SIM_BASE!G43</f>
        <v>8.6196115398619515</v>
      </c>
      <c r="AQ50" s="95">
        <f t="shared" si="55"/>
        <v>214.37866225700995</v>
      </c>
      <c r="AR50" s="75">
        <f>SIM_BASE!H43</f>
        <v>503.10101037192908</v>
      </c>
      <c r="AS50" s="74">
        <f>SIM_BASE!K43</f>
        <v>93.765429762744702</v>
      </c>
      <c r="AT50" s="74">
        <f>SIM_BASE!L43</f>
        <v>113.69229059965141</v>
      </c>
      <c r="AU50" s="74">
        <f>SIM_BASE!M43</f>
        <v>10.215382706662016</v>
      </c>
      <c r="AV50" s="95">
        <f t="shared" si="56"/>
        <v>217.67310306905813</v>
      </c>
      <c r="AW50" s="74">
        <f>SIM_BASE!N43</f>
        <v>51.159644819107896</v>
      </c>
      <c r="AX50" s="74">
        <f>SIM_BASE!O43</f>
        <v>1572.4235529702496</v>
      </c>
      <c r="AY50" s="98">
        <f t="shared" si="57"/>
        <v>1623.5831977893574</v>
      </c>
      <c r="AZ50" s="72">
        <f>SIM_BASE!V43</f>
        <v>2.9140010229269011</v>
      </c>
      <c r="BA50" s="72">
        <f>SIM_BASE!W43</f>
        <v>-4.6106706681750484</v>
      </c>
      <c r="BB50" s="72">
        <f>SIM_BASE!X43</f>
        <v>-1.5947711668000648</v>
      </c>
      <c r="BC50" s="88">
        <f t="shared" si="58"/>
        <v>-3.2914408120482124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9"/>
        <v>3.0000000000000001E-3</v>
      </c>
      <c r="BI50" s="75">
        <f>SIM_BASE!U43</f>
        <v>-1120.4811874174281</v>
      </c>
      <c r="BJ50" s="72">
        <f t="shared" si="73"/>
        <v>-1.9999999999950049E-3</v>
      </c>
      <c r="BK50" s="72">
        <f t="shared" si="74"/>
        <v>-1.9999999999887877E-3</v>
      </c>
      <c r="BL50" s="72">
        <f t="shared" si="75"/>
        <v>-1.9999999999996678E-3</v>
      </c>
      <c r="BM50" s="88">
        <f t="shared" si="60"/>
        <v>-5.9999999999834604E-3</v>
      </c>
      <c r="BN50" s="73">
        <f t="shared" si="76"/>
        <v>-2.00000000018008E-3</v>
      </c>
      <c r="BO50" s="74">
        <f>SIM_BASE!AB43</f>
        <v>152655.39827262866</v>
      </c>
      <c r="BP50" s="74">
        <f>SIM_BASE!AC43</f>
        <v>111105.54981031135</v>
      </c>
      <c r="BQ50" s="74">
        <f>SIM_BASE!AD43</f>
        <v>100549.24323500028</v>
      </c>
      <c r="BR50" s="95">
        <f t="shared" si="61"/>
        <v>128508.26347865396</v>
      </c>
      <c r="BS50" s="75">
        <f>SIM_BASE!AE43</f>
        <v>8686.5965469799994</v>
      </c>
    </row>
    <row r="51" spans="1:71">
      <c r="A51" s="348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48">
        <v>3</v>
      </c>
      <c r="AL51" s="81">
        <v>2024</v>
      </c>
      <c r="AM51" s="81" t="s">
        <v>2</v>
      </c>
      <c r="AN51" s="74">
        <f>SIM_BASE!E50</f>
        <v>99.753328905625779</v>
      </c>
      <c r="AO51" s="74">
        <f>SIM_BASE!F50</f>
        <v>116.20715169097264</v>
      </c>
      <c r="AP51" s="74">
        <f>SIM_BASE!G50</f>
        <v>9.3684297146305902</v>
      </c>
      <c r="AQ51" s="95">
        <f t="shared" si="55"/>
        <v>225.32891031122901</v>
      </c>
      <c r="AR51" s="75">
        <f>SIM_BASE!H50</f>
        <v>528.13105374035968</v>
      </c>
      <c r="AS51" s="74">
        <f>SIM_BASE!K50</f>
        <v>97.832272235976831</v>
      </c>
      <c r="AT51" s="74">
        <f>SIM_BASE!L50</f>
        <v>124.00777866847289</v>
      </c>
      <c r="AU51" s="74">
        <f>SIM_BASE!M50</f>
        <v>11.350754712944962</v>
      </c>
      <c r="AV51" s="95">
        <f t="shared" si="56"/>
        <v>233.19080561739469</v>
      </c>
      <c r="AW51" s="74">
        <f>SIM_BASE!N50</f>
        <v>52.733541057346038</v>
      </c>
      <c r="AX51" s="74">
        <f>SIM_BASE!O50</f>
        <v>1657.6294006049488</v>
      </c>
      <c r="AY51" s="98">
        <f t="shared" si="57"/>
        <v>1710.3629416622948</v>
      </c>
      <c r="AZ51" s="72">
        <f>SIM_BASE!V50</f>
        <v>1.9220566696489245</v>
      </c>
      <c r="BA51" s="72">
        <f>SIM_BASE!W50</f>
        <v>-7.7996269775002594</v>
      </c>
      <c r="BB51" s="72">
        <f>SIM_BASE!X50</f>
        <v>-1.9813249983143724</v>
      </c>
      <c r="BC51" s="88">
        <f t="shared" si="58"/>
        <v>-7.8588953061657074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9"/>
        <v>3.0000000000000001E-3</v>
      </c>
      <c r="BI51" s="75">
        <f>SIM_BASE!U50</f>
        <v>-1182.2308879219354</v>
      </c>
      <c r="BJ51" s="72">
        <f t="shared" si="73"/>
        <v>-1.9999999999765752E-3</v>
      </c>
      <c r="BK51" s="72">
        <f t="shared" si="74"/>
        <v>-1.9999999999985576E-3</v>
      </c>
      <c r="BL51" s="72">
        <f t="shared" si="75"/>
        <v>-1.9999999999994458E-3</v>
      </c>
      <c r="BM51" s="88">
        <f t="shared" si="60"/>
        <v>-5.9999999999745786E-3</v>
      </c>
      <c r="BN51" s="73">
        <f t="shared" si="76"/>
        <v>-1.9999999997253326E-3</v>
      </c>
      <c r="BO51" s="74">
        <f>SIM_BASE!AB50</f>
        <v>161070.0568797428</v>
      </c>
      <c r="BP51" s="74">
        <f>SIM_BASE!AC50</f>
        <v>112397.5972043566</v>
      </c>
      <c r="BQ51" s="74">
        <f>SIM_BASE!AD50</f>
        <v>100493.09045286552</v>
      </c>
      <c r="BR51" s="95">
        <f t="shared" si="61"/>
        <v>132238.05436557624</v>
      </c>
      <c r="BS51" s="75">
        <f>SIM_BASE!AE50</f>
        <v>8955.1749382212656</v>
      </c>
    </row>
    <row r="52" spans="1:71">
      <c r="A52" s="348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48">
        <v>3</v>
      </c>
      <c r="AL52" s="81">
        <v>2025</v>
      </c>
      <c r="AM52" s="81" t="s">
        <v>2</v>
      </c>
      <c r="AN52" s="74">
        <f>SIM_BASE!E57</f>
        <v>102.91343106410866</v>
      </c>
      <c r="AO52" s="74">
        <f>SIM_BASE!F57</f>
        <v>124.49945460931744</v>
      </c>
      <c r="AP52" s="74">
        <f>SIM_BASE!G57</f>
        <v>10.272377330728029</v>
      </c>
      <c r="AQ52" s="95">
        <f t="shared" si="55"/>
        <v>237.68526300415414</v>
      </c>
      <c r="AR52" s="75">
        <f>SIM_BASE!H57</f>
        <v>556.68394917124954</v>
      </c>
      <c r="AS52" s="74">
        <f>SIM_BASE!K57</f>
        <v>102.05004418989692</v>
      </c>
      <c r="AT52" s="74">
        <f>SIM_BASE!L57</f>
        <v>135.9816028624399</v>
      </c>
      <c r="AU52" s="74">
        <f>SIM_BASE!M57</f>
        <v>12.703777432739217</v>
      </c>
      <c r="AV52" s="95">
        <f t="shared" si="56"/>
        <v>250.73542448507607</v>
      </c>
      <c r="AW52" s="74">
        <f>SIM_BASE!N57</f>
        <v>53.947054340988231</v>
      </c>
      <c r="AX52" s="74">
        <f>SIM_BASE!O57</f>
        <v>1747.9229161518138</v>
      </c>
      <c r="AY52" s="98">
        <f t="shared" si="57"/>
        <v>1801.8699704928019</v>
      </c>
      <c r="AZ52" s="72">
        <f>SIM_BASE!V57</f>
        <v>0.86438687421172133</v>
      </c>
      <c r="BA52" s="72">
        <f>SIM_BASE!W57</f>
        <v>-11.481148253122479</v>
      </c>
      <c r="BB52" s="72">
        <f>SIM_BASE!X57</f>
        <v>-2.4304001020111885</v>
      </c>
      <c r="BC52" s="88">
        <f t="shared" si="58"/>
        <v>-13.047161480921947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1E-3</v>
      </c>
      <c r="BH52" s="88">
        <f t="shared" si="59"/>
        <v>3.0000000000000001E-3</v>
      </c>
      <c r="BI52" s="75">
        <f>SIM_BASE!U57</f>
        <v>-1245.1850213215525</v>
      </c>
      <c r="BJ52" s="72">
        <f t="shared" si="73"/>
        <v>-1.9999999999799059E-3</v>
      </c>
      <c r="BK52" s="72">
        <f t="shared" si="74"/>
        <v>-1.9999999999816822E-3</v>
      </c>
      <c r="BL52" s="72">
        <f t="shared" si="75"/>
        <v>-2.000000000000334E-3</v>
      </c>
      <c r="BM52" s="88">
        <f t="shared" si="60"/>
        <v>-5.9999999999619221E-3</v>
      </c>
      <c r="BN52" s="73">
        <f t="shared" si="76"/>
        <v>-1.9999999999527063E-3</v>
      </c>
      <c r="BO52" s="74">
        <f>SIM_BASE!AB57</f>
        <v>169704.92768191893</v>
      </c>
      <c r="BP52" s="74">
        <f>SIM_BASE!AC57</f>
        <v>112853.10405554507</v>
      </c>
      <c r="BQ52" s="74">
        <f>SIM_BASE!AD57</f>
        <v>99517.676550735909</v>
      </c>
      <c r="BR52" s="95">
        <f t="shared" si="61"/>
        <v>135316.30733814064</v>
      </c>
      <c r="BS52" s="75">
        <f>SIM_BASE!AE57</f>
        <v>9234.0375086823224</v>
      </c>
    </row>
    <row r="53" spans="1:71">
      <c r="A53" s="348">
        <v>3</v>
      </c>
      <c r="B53" s="81">
        <v>2026</v>
      </c>
      <c r="C53" s="81" t="s">
        <v>2</v>
      </c>
      <c r="D53" s="74">
        <v>123.53847002696975</v>
      </c>
      <c r="E53" s="74">
        <v>128.6651246537032</v>
      </c>
      <c r="F53" s="74">
        <v>11.298235192536572</v>
      </c>
      <c r="G53" s="95">
        <v>263.50182987320954</v>
      </c>
      <c r="H53" s="75">
        <v>577.56097625024745</v>
      </c>
      <c r="I53" s="74">
        <v>145.23449249661286</v>
      </c>
      <c r="J53" s="74">
        <v>165.9734093381453</v>
      </c>
      <c r="K53" s="74">
        <v>14.264610073156966</v>
      </c>
      <c r="L53" s="95">
        <v>325.47251190791513</v>
      </c>
      <c r="M53" s="74">
        <v>41.813836478936032</v>
      </c>
      <c r="N53" s="74">
        <v>1748.911794910146</v>
      </c>
      <c r="O53" s="98">
        <v>1790.7256313890821</v>
      </c>
      <c r="P53" s="72">
        <v>-21.695022469643121</v>
      </c>
      <c r="Q53" s="72">
        <v>-37.307284684442024</v>
      </c>
      <c r="R53" s="72">
        <v>-2.9653748806203954</v>
      </c>
      <c r="S53" s="88">
        <v>-61.96768203470554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-1213.1636551388347</v>
      </c>
      <c r="Z53" s="72">
        <v>-1.999999999990564E-3</v>
      </c>
      <c r="AA53" s="72">
        <v>-2.0000000000758291E-3</v>
      </c>
      <c r="AB53" s="72">
        <v>-1.9999999999990017E-3</v>
      </c>
      <c r="AC53" s="88">
        <v>-6.0000000000653949E-3</v>
      </c>
      <c r="AD53" s="73">
        <v>-1.9999999999527063E-3</v>
      </c>
      <c r="AE53" s="74">
        <v>121461.59420601702</v>
      </c>
      <c r="AF53" s="74">
        <v>96098.791159269851</v>
      </c>
      <c r="AG53" s="74">
        <v>93432.418097236325</v>
      </c>
      <c r="AH53" s="95">
        <v>107299.48837138283</v>
      </c>
      <c r="AI53" s="75">
        <v>9511.8360523449082</v>
      </c>
      <c r="AK53" s="348">
        <v>3</v>
      </c>
      <c r="AL53" s="81">
        <v>2026</v>
      </c>
      <c r="AM53" s="81" t="s">
        <v>2</v>
      </c>
      <c r="AN53" s="74">
        <f>SIM_BASE!E64</f>
        <v>106.1978531344956</v>
      </c>
      <c r="AO53" s="74">
        <f>SIM_BASE!F64</f>
        <v>134.2135084565011</v>
      </c>
      <c r="AP53" s="74">
        <f>SIM_BASE!G64</f>
        <v>11.354477436987517</v>
      </c>
      <c r="AQ53" s="95">
        <f t="shared" ref="AQ53:AQ87" si="88">SUM(AN53:AP53)</f>
        <v>251.76583902798421</v>
      </c>
      <c r="AR53" s="75">
        <f>SIM_BASE!H64</f>
        <v>588.8508627609308</v>
      </c>
      <c r="AS53" s="74">
        <f>SIM_BASE!K64</f>
        <v>106.38906911108788</v>
      </c>
      <c r="AT53" s="74">
        <f>SIM_BASE!L64</f>
        <v>149.83528421716255</v>
      </c>
      <c r="AU53" s="74">
        <f>SIM_BASE!M64</f>
        <v>14.337134255570634</v>
      </c>
      <c r="AV53" s="95">
        <f t="shared" ref="AV53:AV87" si="89">SUM(AS53:AU53)</f>
        <v>270.56148758382108</v>
      </c>
      <c r="AW53" s="74">
        <f>SIM_BASE!N64</f>
        <v>54.849268570738381</v>
      </c>
      <c r="AX53" s="74">
        <f>SIM_BASE!O64</f>
        <v>1846.8700024550535</v>
      </c>
      <c r="AY53" s="98">
        <f t="shared" ref="AY53:AY87" si="90">SUM(AW53:AX53)</f>
        <v>1901.7192710257918</v>
      </c>
      <c r="AZ53" s="72">
        <f>SIM_BASE!V64</f>
        <v>-0.19021597659228001</v>
      </c>
      <c r="BA53" s="72">
        <f>SIM_BASE!W64</f>
        <v>-15.62077576066144</v>
      </c>
      <c r="BB53" s="72">
        <f>SIM_BASE!X64</f>
        <v>-2.9816568185831187</v>
      </c>
      <c r="BC53" s="88">
        <f t="shared" ref="BC53:BC87" si="91">SUM(AZ53:BB53)</f>
        <v>-18.792648555836838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1E-3</v>
      </c>
      <c r="BH53" s="88">
        <f t="shared" ref="BH53:BH87" si="92">SUM(BE53:BG53)</f>
        <v>3.0000000000000001E-3</v>
      </c>
      <c r="BI53" s="75">
        <f>SIM_BASE!U64</f>
        <v>-1312.8674082648611</v>
      </c>
      <c r="BJ53" s="72">
        <f t="shared" si="73"/>
        <v>-1.9999999999951714E-3</v>
      </c>
      <c r="BK53" s="72">
        <f t="shared" si="74"/>
        <v>-2.0000000000101039E-3</v>
      </c>
      <c r="BL53" s="72">
        <f t="shared" si="75"/>
        <v>-1.9999999999976694E-3</v>
      </c>
      <c r="BM53" s="88">
        <f t="shared" ref="BM53:BM87" si="93">SUM(BJ53:BL53)</f>
        <v>-6.0000000000029448E-3</v>
      </c>
      <c r="BN53" s="73">
        <f t="shared" si="76"/>
        <v>-1.9999999999527063E-3</v>
      </c>
      <c r="BO53" s="74">
        <f>SIM_BASE!AB64</f>
        <v>178644.4866381865</v>
      </c>
      <c r="BP53" s="74">
        <f>SIM_BASE!AC64</f>
        <v>112586.10704531157</v>
      </c>
      <c r="BQ53" s="74">
        <f>SIM_BASE!AD64</f>
        <v>97639.93740548889</v>
      </c>
      <c r="BR53" s="95">
        <f t="shared" ref="BR53:BR87" si="94">SUMPRODUCT(BO53:BQ53,AS53:AU53)/AV53</f>
        <v>137769.30784741865</v>
      </c>
      <c r="BS53" s="75">
        <f>SIM_BASE!AE64</f>
        <v>9511.663174518113</v>
      </c>
    </row>
    <row r="54" spans="1:71">
      <c r="A54" s="348">
        <v>3</v>
      </c>
      <c r="B54" s="81">
        <v>2027</v>
      </c>
      <c r="C54" s="81" t="s">
        <v>2</v>
      </c>
      <c r="D54" s="74">
        <v>127.33555177419927</v>
      </c>
      <c r="E54" s="74">
        <v>139.3919662603742</v>
      </c>
      <c r="F54" s="74">
        <v>12.641397407458904</v>
      </c>
      <c r="G54" s="95">
        <v>279.36891544203235</v>
      </c>
      <c r="H54" s="75">
        <v>614.10274961112111</v>
      </c>
      <c r="I54" s="74">
        <v>151.72936638147601</v>
      </c>
      <c r="J54" s="74">
        <v>184.0489228171798</v>
      </c>
      <c r="K54" s="74">
        <v>16.159610318889786</v>
      </c>
      <c r="L54" s="95">
        <v>351.93789951754559</v>
      </c>
      <c r="M54" s="74">
        <v>42.662476092618</v>
      </c>
      <c r="N54" s="74">
        <v>1849.7589668110359</v>
      </c>
      <c r="O54" s="98">
        <v>1892.4214429036538</v>
      </c>
      <c r="P54" s="72">
        <v>-24.392814607276737</v>
      </c>
      <c r="Q54" s="72">
        <v>-44.655956556805627</v>
      </c>
      <c r="R54" s="72">
        <v>-3.517212911430883</v>
      </c>
      <c r="S54" s="88">
        <v>-72.565984075513256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-1278.3176932925332</v>
      </c>
      <c r="Z54" s="72">
        <v>-2.0000000000012222E-3</v>
      </c>
      <c r="AA54" s="72">
        <v>-1.9999999999692477E-3</v>
      </c>
      <c r="AB54" s="72">
        <v>-1.9999999999998899E-3</v>
      </c>
      <c r="AC54" s="88">
        <v>-5.9999999999703598E-3</v>
      </c>
      <c r="AD54" s="73">
        <v>-1.9999999994979589E-3</v>
      </c>
      <c r="AE54" s="74">
        <v>127622.82448402983</v>
      </c>
      <c r="AF54" s="74">
        <v>95199.469001039019</v>
      </c>
      <c r="AG54" s="74">
        <v>91292.691202382208</v>
      </c>
      <c r="AH54" s="95">
        <v>108998.61704171389</v>
      </c>
      <c r="AI54" s="75">
        <v>9799.6295052020432</v>
      </c>
      <c r="AK54" s="348">
        <v>3</v>
      </c>
      <c r="AL54" s="81">
        <v>2027</v>
      </c>
      <c r="AM54" s="81" t="s">
        <v>2</v>
      </c>
      <c r="AN54" s="74">
        <f>SIM_BASE!E71</f>
        <v>109.99801758080585</v>
      </c>
      <c r="AO54" s="74">
        <f>SIM_BASE!F71</f>
        <v>145.36161985387284</v>
      </c>
      <c r="AP54" s="74">
        <f>SIM_BASE!G71</f>
        <v>12.654443373154409</v>
      </c>
      <c r="AQ54" s="95">
        <f t="shared" si="88"/>
        <v>268.01408080783312</v>
      </c>
      <c r="AR54" s="75">
        <f>SIM_BASE!H71</f>
        <v>625.52281953826923</v>
      </c>
      <c r="AS54" s="74">
        <f>SIM_BASE!K71</f>
        <v>110.29843096356203</v>
      </c>
      <c r="AT54" s="74">
        <f>SIM_BASE!L71</f>
        <v>166.18671368876215</v>
      </c>
      <c r="AU54" s="74">
        <f>SIM_BASE!M71</f>
        <v>16.310153944997122</v>
      </c>
      <c r="AV54" s="95">
        <f t="shared" si="89"/>
        <v>292.79529859732128</v>
      </c>
      <c r="AW54" s="74">
        <f>SIM_BASE!N71</f>
        <v>55.517298302172165</v>
      </c>
      <c r="AX54" s="74">
        <f>SIM_BASE!O71</f>
        <v>1956.6744677756828</v>
      </c>
      <c r="AY54" s="98">
        <f t="shared" si="90"/>
        <v>2012.1917660778549</v>
      </c>
      <c r="AZ54" s="72">
        <f>SIM_BASE!V71</f>
        <v>-0.29941338275615831</v>
      </c>
      <c r="BA54" s="72">
        <f>SIM_BASE!W71</f>
        <v>-20.824093834889272</v>
      </c>
      <c r="BB54" s="72">
        <f>SIM_BASE!X71</f>
        <v>-3.654710571842716</v>
      </c>
      <c r="BC54" s="88">
        <f t="shared" si="91"/>
        <v>-24.778217789488146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1E-3</v>
      </c>
      <c r="BH54" s="88">
        <f t="shared" si="92"/>
        <v>3.0000000000000001E-3</v>
      </c>
      <c r="BI54" s="75">
        <f>SIM_BASE!U71</f>
        <v>-1386.6679465395864</v>
      </c>
      <c r="BJ54" s="72">
        <f t="shared" si="73"/>
        <v>-2.0000000000175979E-3</v>
      </c>
      <c r="BK54" s="72">
        <f t="shared" si="74"/>
        <v>-2.0000000000438547E-3</v>
      </c>
      <c r="BL54" s="72">
        <f t="shared" si="75"/>
        <v>-1.9999999999967813E-3</v>
      </c>
      <c r="BM54" s="88">
        <f t="shared" si="93"/>
        <v>-6.0000000000582339E-3</v>
      </c>
      <c r="BN54" s="73">
        <f t="shared" si="76"/>
        <v>-1.9999999992705852E-3</v>
      </c>
      <c r="BO54" s="74">
        <f>SIM_BASE!AB71</f>
        <v>188972.09062817259</v>
      </c>
      <c r="BP54" s="74">
        <f>SIM_BASE!AC71</f>
        <v>111389.24728068753</v>
      </c>
      <c r="BQ54" s="74">
        <f>SIM_BASE!AD71</f>
        <v>94917.843772277716</v>
      </c>
      <c r="BR54" s="95">
        <f t="shared" si="94"/>
        <v>139697.81235572434</v>
      </c>
      <c r="BS54" s="75">
        <f>SIM_BASE!AE71</f>
        <v>9799.4561508466286</v>
      </c>
    </row>
    <row r="55" spans="1:71">
      <c r="A55" s="348">
        <v>3</v>
      </c>
      <c r="B55" s="81">
        <v>2028</v>
      </c>
      <c r="C55" s="81" t="s">
        <v>2</v>
      </c>
      <c r="D55" s="74">
        <v>131.26947688050279</v>
      </c>
      <c r="E55" s="74">
        <v>151.88883328363872</v>
      </c>
      <c r="F55" s="74">
        <v>14.67128558876114</v>
      </c>
      <c r="G55" s="95">
        <v>297.82959575290266</v>
      </c>
      <c r="H55" s="75">
        <v>656.41250741599151</v>
      </c>
      <c r="I55" s="74">
        <v>158.46061907930783</v>
      </c>
      <c r="J55" s="74">
        <v>205.21371844372217</v>
      </c>
      <c r="K55" s="74">
        <v>17.931910504482953</v>
      </c>
      <c r="L55" s="95">
        <v>381.60624802751295</v>
      </c>
      <c r="M55" s="74">
        <v>43.467645435257566</v>
      </c>
      <c r="N55" s="74">
        <v>1969.4594044589489</v>
      </c>
      <c r="O55" s="98">
        <v>2012.9270498942064</v>
      </c>
      <c r="P55" s="72">
        <v>-27.190142198805074</v>
      </c>
      <c r="Q55" s="72">
        <v>-53.323885160083414</v>
      </c>
      <c r="R55" s="72">
        <v>-3.2596249157218136</v>
      </c>
      <c r="S55" s="88">
        <v>-83.773652274610299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-1356.513542478215</v>
      </c>
      <c r="Z55" s="72">
        <v>-1.999999999965695E-3</v>
      </c>
      <c r="AA55" s="72">
        <v>-2.000000000040302E-3</v>
      </c>
      <c r="AB55" s="72">
        <v>-1.9999999999994458E-3</v>
      </c>
      <c r="AC55" s="88">
        <v>-6.0000000000054428E-3</v>
      </c>
      <c r="AD55" s="73">
        <v>-1.9999999999527063E-3</v>
      </c>
      <c r="AE55" s="74">
        <v>134095.39712613326</v>
      </c>
      <c r="AF55" s="74">
        <v>93817.017715547991</v>
      </c>
      <c r="AG55" s="74">
        <v>91680.318282943961</v>
      </c>
      <c r="AH55" s="95">
        <v>110442.06478095859</v>
      </c>
      <c r="AI55" s="75">
        <v>10097.976295583612</v>
      </c>
      <c r="AK55" s="348">
        <v>3</v>
      </c>
      <c r="AL55" s="81">
        <v>2028</v>
      </c>
      <c r="AM55" s="81" t="s">
        <v>2</v>
      </c>
      <c r="AN55" s="74">
        <f>SIM_BASE!E78</f>
        <v>113.51049039978881</v>
      </c>
      <c r="AO55" s="74">
        <f>SIM_BASE!F78</f>
        <v>158.33465276575691</v>
      </c>
      <c r="AP55" s="74">
        <f>SIM_BASE!G78</f>
        <v>14.250180374887011</v>
      </c>
      <c r="AQ55" s="95">
        <f t="shared" si="88"/>
        <v>286.09532354043273</v>
      </c>
      <c r="AR55" s="75">
        <f>SIM_BASE!H78</f>
        <v>667.59626339045292</v>
      </c>
      <c r="AS55" s="74">
        <f>SIM_BASE!K78</f>
        <v>114.94421221410744</v>
      </c>
      <c r="AT55" s="74">
        <f>SIM_BASE!L78</f>
        <v>185.31489920397826</v>
      </c>
      <c r="AU55" s="74">
        <f>SIM_BASE!M78</f>
        <v>18.662380165480489</v>
      </c>
      <c r="AV55" s="95">
        <f t="shared" si="89"/>
        <v>318.92149158356619</v>
      </c>
      <c r="AW55" s="74">
        <f>SIM_BASE!N78</f>
        <v>55.973468029136264</v>
      </c>
      <c r="AX55" s="74">
        <f>SIM_BASE!O78</f>
        <v>2075.5002613854067</v>
      </c>
      <c r="AY55" s="98">
        <f t="shared" si="90"/>
        <v>2131.473729414543</v>
      </c>
      <c r="AZ55" s="72">
        <f>SIM_BASE!V78</f>
        <v>-1.4327218143186771</v>
      </c>
      <c r="BA55" s="72">
        <f>SIM_BASE!W78</f>
        <v>-26.97924643822132</v>
      </c>
      <c r="BB55" s="72">
        <f>SIM_BASE!X78</f>
        <v>-4.4111997905934803</v>
      </c>
      <c r="BC55" s="88">
        <f t="shared" si="91"/>
        <v>-32.823168043133478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1E-3</v>
      </c>
      <c r="BH55" s="88">
        <f t="shared" si="92"/>
        <v>3.0000000000000001E-3</v>
      </c>
      <c r="BI55" s="75">
        <f>SIM_BASE!U78</f>
        <v>-1463.8764660240904</v>
      </c>
      <c r="BJ55" s="72">
        <f t="shared" si="73"/>
        <v>-1.9999999999534826E-3</v>
      </c>
      <c r="BK55" s="72">
        <f t="shared" si="74"/>
        <v>-2.0000000000225384E-3</v>
      </c>
      <c r="BL55" s="72">
        <f t="shared" si="75"/>
        <v>-1.9999999999976694E-3</v>
      </c>
      <c r="BM55" s="88">
        <f t="shared" si="93"/>
        <v>-5.9999999999736904E-3</v>
      </c>
      <c r="BN55" s="73">
        <f t="shared" si="76"/>
        <v>-1.9999999997253326E-3</v>
      </c>
      <c r="BO55" s="74">
        <f>SIM_BASE!AB78</f>
        <v>198651.61564993762</v>
      </c>
      <c r="BP55" s="74">
        <f>SIM_BASE!AC78</f>
        <v>109473.7176427278</v>
      </c>
      <c r="BQ55" s="74">
        <f>SIM_BASE!AD78</f>
        <v>91694.108235216656</v>
      </c>
      <c r="BR55" s="95">
        <f t="shared" si="94"/>
        <v>140574.39183731421</v>
      </c>
      <c r="BS55" s="75">
        <f>SIM_BASE!AE78</f>
        <v>10097.797768127195</v>
      </c>
    </row>
    <row r="56" spans="1:71">
      <c r="A56" s="496">
        <v>3</v>
      </c>
      <c r="B56" s="81">
        <v>2029</v>
      </c>
      <c r="C56" s="81" t="s">
        <v>2</v>
      </c>
      <c r="D56" s="74">
        <v>135.36344853395812</v>
      </c>
      <c r="E56" s="74">
        <v>166.50134467564547</v>
      </c>
      <c r="F56" s="74">
        <v>16.940534018530357</v>
      </c>
      <c r="G56" s="95">
        <v>318.80532722813393</v>
      </c>
      <c r="H56" s="75">
        <v>704.1889446688192</v>
      </c>
      <c r="I56" s="74">
        <v>165.3622043249477</v>
      </c>
      <c r="J56" s="74">
        <v>229.89586244858347</v>
      </c>
      <c r="K56" s="74">
        <v>20.334286978343936</v>
      </c>
      <c r="L56" s="95">
        <v>415.59235375187507</v>
      </c>
      <c r="M56" s="74">
        <v>43.867695317467366</v>
      </c>
      <c r="N56" s="74">
        <v>2096.3125549571055</v>
      </c>
      <c r="O56" s="98">
        <v>2140.1802502745727</v>
      </c>
      <c r="P56" s="72">
        <v>-29.99775579098954</v>
      </c>
      <c r="Q56" s="72">
        <v>-63.393517772937997</v>
      </c>
      <c r="R56" s="72">
        <v>-3.3927529598135791</v>
      </c>
      <c r="S56" s="88">
        <v>-96.784026523741119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-1435.9903056057542</v>
      </c>
      <c r="Z56" s="72">
        <v>-2.0000000000367493E-3</v>
      </c>
      <c r="AA56" s="72">
        <v>-2.0000000000047749E-3</v>
      </c>
      <c r="AB56" s="72">
        <v>-1.9999999999998899E-3</v>
      </c>
      <c r="AC56" s="88">
        <v>-6.000000000041414E-3</v>
      </c>
      <c r="AD56" s="73">
        <v>-1.9999999992705852E-3</v>
      </c>
      <c r="AE56" s="74">
        <v>140725.24766572265</v>
      </c>
      <c r="AF56" s="74">
        <v>91782.695077376615</v>
      </c>
      <c r="AG56" s="74">
        <v>89708.905283200962</v>
      </c>
      <c r="AH56" s="95">
        <v>111155.23471100487</v>
      </c>
      <c r="AI56" s="75">
        <v>10407.27060951123</v>
      </c>
      <c r="AK56" s="496">
        <v>3</v>
      </c>
      <c r="AL56" s="81">
        <v>2029</v>
      </c>
      <c r="AM56" s="81" t="s">
        <v>2</v>
      </c>
      <c r="AN56" s="74">
        <f>SIM_BASE!E85</f>
        <v>117.08428961783672</v>
      </c>
      <c r="AO56" s="74">
        <f>SIM_BASE!F85</f>
        <v>173.47070842637493</v>
      </c>
      <c r="AP56" s="74">
        <f>SIM_BASE!G85</f>
        <v>16.787728173541698</v>
      </c>
      <c r="AQ56" s="95">
        <f t="shared" si="88"/>
        <v>307.34272621775335</v>
      </c>
      <c r="AR56" s="75">
        <f>SIM_BASE!H85</f>
        <v>717.08454473884296</v>
      </c>
      <c r="AS56" s="74">
        <f>SIM_BASE!K85</f>
        <v>119.88855623366058</v>
      </c>
      <c r="AT56" s="74">
        <f>SIM_BASE!L85</f>
        <v>207.84384697701273</v>
      </c>
      <c r="AU56" s="74">
        <f>SIM_BASE!M85</f>
        <v>20.735707299781662</v>
      </c>
      <c r="AV56" s="95">
        <f t="shared" si="89"/>
        <v>348.46811051045495</v>
      </c>
      <c r="AW56" s="74">
        <f>SIM_BASE!N85</f>
        <v>56.884612332087372</v>
      </c>
      <c r="AX56" s="74">
        <f>SIM_BASE!O85</f>
        <v>2225.9424903903578</v>
      </c>
      <c r="AY56" s="98">
        <f t="shared" si="90"/>
        <v>2282.827102722445</v>
      </c>
      <c r="AZ56" s="72">
        <f>SIM_BASE!V85</f>
        <v>-2.8032666158238864</v>
      </c>
      <c r="BA56" s="72">
        <f>SIM_BASE!W85</f>
        <v>-34.372138550637587</v>
      </c>
      <c r="BB56" s="72">
        <f>SIM_BASE!X85</f>
        <v>-3.9469791262399632</v>
      </c>
      <c r="BC56" s="88">
        <f t="shared" si="91"/>
        <v>-41.12238429270144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1E-3</v>
      </c>
      <c r="BH56" s="88">
        <f t="shared" si="92"/>
        <v>3.0000000000000001E-3</v>
      </c>
      <c r="BI56" s="75">
        <f>SIM_BASE!U85</f>
        <v>-1565.741557983602</v>
      </c>
      <c r="BJ56" s="72">
        <f t="shared" si="73"/>
        <v>-1.9999999999767972E-3</v>
      </c>
      <c r="BK56" s="72">
        <f t="shared" si="74"/>
        <v>-2.0000000002179377E-3</v>
      </c>
      <c r="BL56" s="72">
        <f t="shared" si="75"/>
        <v>-2.0000000000012222E-3</v>
      </c>
      <c r="BM56" s="88">
        <f t="shared" si="93"/>
        <v>-6.0000000001959571E-3</v>
      </c>
      <c r="BN56" s="73">
        <f t="shared" si="76"/>
        <v>-2.00000000018008E-3</v>
      </c>
      <c r="BO56" s="74">
        <f>SIM_BASE!AB85</f>
        <v>208976.42877364546</v>
      </c>
      <c r="BP56" s="74">
        <f>SIM_BASE!AC85</f>
        <v>107175.61581510919</v>
      </c>
      <c r="BQ56" s="74">
        <f>SIM_BASE!AD85</f>
        <v>92059.319127955358</v>
      </c>
      <c r="BR56" s="95">
        <f t="shared" si="94"/>
        <v>141300.13116324629</v>
      </c>
      <c r="BS56" s="75">
        <f>SIM_BASE!AE85</f>
        <v>10407.080335652699</v>
      </c>
    </row>
    <row r="57" spans="1:71" ht="17" thickBot="1">
      <c r="A57" s="382">
        <v>3</v>
      </c>
      <c r="B57" s="82">
        <v>2030</v>
      </c>
      <c r="C57" s="82" t="s">
        <v>2</v>
      </c>
      <c r="D57" s="78">
        <v>80.680657202382704</v>
      </c>
      <c r="E57" s="78">
        <v>117.38182087833825</v>
      </c>
      <c r="F57" s="78">
        <v>13.666068976902949</v>
      </c>
      <c r="G57" s="96">
        <v>211.7285470576239</v>
      </c>
      <c r="H57" s="79">
        <v>541.32874269003435</v>
      </c>
      <c r="I57" s="78">
        <v>101.96600847699119</v>
      </c>
      <c r="J57" s="78">
        <v>152.71831532985476</v>
      </c>
      <c r="K57" s="78">
        <v>16.011565970232169</v>
      </c>
      <c r="L57" s="96">
        <v>270.69588977707815</v>
      </c>
      <c r="M57" s="78">
        <v>18.587369524831796</v>
      </c>
      <c r="N57" s="78">
        <v>1426.6948580228486</v>
      </c>
      <c r="O57" s="99">
        <v>1445.2822275476803</v>
      </c>
      <c r="P57" s="76">
        <v>-21.284351274608511</v>
      </c>
      <c r="Q57" s="76">
        <v>-35.33549445151656</v>
      </c>
      <c r="R57" s="76">
        <v>-2.3444969933292183</v>
      </c>
      <c r="S57" s="89">
        <v>-58.964342719454287</v>
      </c>
      <c r="T57" s="77">
        <v>-209.71746375706485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-694.23402110058134</v>
      </c>
      <c r="Z57" s="72">
        <v>-1.9999999999763532E-3</v>
      </c>
      <c r="AA57" s="72">
        <v>-1.9999999999550369E-3</v>
      </c>
      <c r="AB57" s="72">
        <v>-2.0000000000021103E-3</v>
      </c>
      <c r="AC57" s="88">
        <v>-5.9999999999335004E-3</v>
      </c>
      <c r="AD57" s="73">
        <v>-1.9999999999527063E-3</v>
      </c>
      <c r="AE57" s="78">
        <v>141369.76810736491</v>
      </c>
      <c r="AF57" s="78">
        <v>92271.302423498666</v>
      </c>
      <c r="AG57" s="78">
        <v>89045.515283200963</v>
      </c>
      <c r="AH57" s="96">
        <v>110574.95922673217</v>
      </c>
      <c r="AI57" s="79">
        <v>10748.640685654955</v>
      </c>
      <c r="AK57" s="382">
        <v>3</v>
      </c>
      <c r="AL57" s="82">
        <v>2030</v>
      </c>
      <c r="AM57" s="82" t="s">
        <v>2</v>
      </c>
      <c r="AN57" s="74">
        <f>SIM_BASE!E86</f>
        <v>75.196258085213913</v>
      </c>
      <c r="AO57" s="74">
        <f>SIM_BASE!F86</f>
        <v>123.06510488799643</v>
      </c>
      <c r="AP57" s="74">
        <f>SIM_BASE!G86</f>
        <v>13.365814524524119</v>
      </c>
      <c r="AQ57" s="95">
        <f t="shared" ref="AQ57" si="95">SUM(AN57:AP57)</f>
        <v>211.62717749773446</v>
      </c>
      <c r="AR57" s="75">
        <f>SIM_BASE!H86</f>
        <v>550.39464013017869</v>
      </c>
      <c r="AS57" s="74">
        <f>SIM_BASE!K86</f>
        <v>77.114068418031735</v>
      </c>
      <c r="AT57" s="74">
        <f>SIM_BASE!L86</f>
        <v>140.21679968620444</v>
      </c>
      <c r="AU57" s="74">
        <f>SIM_BASE!M86</f>
        <v>16.575829089783891</v>
      </c>
      <c r="AV57" s="95">
        <f t="shared" ref="AV57" si="96">SUM(AS57:AU57)</f>
        <v>233.90669719402007</v>
      </c>
      <c r="AW57" s="74">
        <f>SIM_BASE!N86</f>
        <v>21.649644229778715</v>
      </c>
      <c r="AX57" s="74">
        <f>SIM_BASE!O86</f>
        <v>1563.3468870498168</v>
      </c>
      <c r="AY57" s="98">
        <f t="shared" ref="AY57" si="97">SUM(AW57:AX57)</f>
        <v>1584.9965312795955</v>
      </c>
      <c r="AZ57" s="72">
        <f>SIM_BASE!V86</f>
        <v>-1.9168103328178494</v>
      </c>
      <c r="BA57" s="72">
        <f>SIM_BASE!W86</f>
        <v>-17.150694798207997</v>
      </c>
      <c r="BB57" s="72">
        <f>SIM_BASE!X86</f>
        <v>-3.209014565259773</v>
      </c>
      <c r="BC57" s="88">
        <f t="shared" ref="BC57" si="98">SUM(AZ57:BB57)</f>
        <v>-22.276519696285618</v>
      </c>
      <c r="BD57" s="73">
        <f>SIM_BASE!Y86</f>
        <v>-100.4010736807772</v>
      </c>
      <c r="BE57" s="72">
        <f>SIM_BASE!R86</f>
        <v>1E-3</v>
      </c>
      <c r="BF57" s="72">
        <f>SIM_BASE!S86</f>
        <v>1E-3</v>
      </c>
      <c r="BG57" s="72">
        <f>SIM_BASE!T86</f>
        <v>1E-3</v>
      </c>
      <c r="BH57" s="88">
        <f t="shared" ref="BH57" si="99">SUM(BE57:BG57)</f>
        <v>3.0000000000000001E-3</v>
      </c>
      <c r="BI57" s="75">
        <f>SIM_BASE!U86</f>
        <v>-934.19881746863962</v>
      </c>
      <c r="BJ57" s="72">
        <f t="shared" ref="BJ57" si="100">AN57-AS57-AZ57-BE57</f>
        <v>-1.9999999999730225E-3</v>
      </c>
      <c r="BK57" s="72">
        <f t="shared" ref="BK57" si="101">AO57-AT57-BA57-BF57</f>
        <v>-2.000000000015433E-3</v>
      </c>
      <c r="BL57" s="72">
        <f t="shared" ref="BL57" si="102">AP57-AU57-BB57-BG57</f>
        <v>-1.9999999999994458E-3</v>
      </c>
      <c r="BM57" s="88">
        <f t="shared" ref="BM57" si="103">SUM(BJ57:BL57)</f>
        <v>-5.9999999999879013E-3</v>
      </c>
      <c r="BN57" s="73">
        <f t="shared" ref="BN57" si="104">AR57-AW57-AX57-BD57-BI57</f>
        <v>-1.9999999999527063E-3</v>
      </c>
      <c r="BO57" s="74">
        <f>SIM_BASE!AB86</f>
        <v>209058.2539175523</v>
      </c>
      <c r="BP57" s="74">
        <f>SIM_BASE!AC86</f>
        <v>106583.15810186928</v>
      </c>
      <c r="BQ57" s="74">
        <f>SIM_BASE!AD86</f>
        <v>89714.241019538691</v>
      </c>
      <c r="BR57" s="95">
        <f t="shared" ref="BR57" si="105">SUMPRODUCT(BO57:BQ57,AS57:AU57)/AV57</f>
        <v>139171.60193366636</v>
      </c>
      <c r="BS57" s="75">
        <f>SIM_BASE!AE86</f>
        <v>10748.281201248948</v>
      </c>
    </row>
    <row r="58" spans="1:71">
      <c r="A58" s="347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47">
        <v>4</v>
      </c>
      <c r="AL58" s="80">
        <v>2018</v>
      </c>
      <c r="AM58" s="80" t="s">
        <v>3</v>
      </c>
      <c r="AN58" s="70">
        <f>SIM_BASE!E9</f>
        <v>58.980659438163087</v>
      </c>
      <c r="AO58" s="70">
        <f>SIM_BASE!F9</f>
        <v>58.138044069897632</v>
      </c>
      <c r="AP58" s="70">
        <f>SIM_BASE!G9</f>
        <v>5.1470242082273128</v>
      </c>
      <c r="AQ58" s="94">
        <f t="shared" si="88"/>
        <v>122.26572771628803</v>
      </c>
      <c r="AR58" s="71">
        <f>SIM_BASE!H9</f>
        <v>312.95915404968326</v>
      </c>
      <c r="AS58" s="70">
        <f>SIM_BASE!K9</f>
        <v>73.273547456555335</v>
      </c>
      <c r="AT58" s="70">
        <f>SIM_BASE!L9</f>
        <v>76.396207453537443</v>
      </c>
      <c r="AU58" s="70">
        <f>SIM_BASE!M9</f>
        <v>6.696183327515798</v>
      </c>
      <c r="AV58" s="94">
        <f t="shared" si="89"/>
        <v>156.36593823760856</v>
      </c>
      <c r="AW58" s="70">
        <f>SIM_BASE!N9</f>
        <v>18.402649429558494</v>
      </c>
      <c r="AX58" s="70">
        <f>SIM_BASE!O9</f>
        <v>787.98536010137241</v>
      </c>
      <c r="AY58" s="97">
        <f t="shared" si="90"/>
        <v>806.38800953093096</v>
      </c>
      <c r="AZ58" s="68">
        <f>SIM_BASE!V9</f>
        <v>-14.291888018392209</v>
      </c>
      <c r="BA58" s="68">
        <f>SIM_BASE!W9</f>
        <v>-18.257163383640012</v>
      </c>
      <c r="BB58" s="68">
        <f>SIM_BASE!X9</f>
        <v>-1.5481591192884854</v>
      </c>
      <c r="BC58" s="87">
        <f t="shared" si="91"/>
        <v>-34.097210521320704</v>
      </c>
      <c r="BD58" s="69">
        <f>SIM_BASE!Y9</f>
        <v>-172.07495484263802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92"/>
        <v>3.0000000000000001E-3</v>
      </c>
      <c r="BI58" s="71">
        <f>SIM_BASE!U9</f>
        <v>-321.35190063860972</v>
      </c>
      <c r="BJ58" s="68">
        <f t="shared" si="73"/>
        <v>-2.0000000000385256E-3</v>
      </c>
      <c r="BK58" s="68">
        <f t="shared" si="74"/>
        <v>-1.9999999997987175E-3</v>
      </c>
      <c r="BL58" s="68">
        <f t="shared" si="75"/>
        <v>-1.9999999999998899E-3</v>
      </c>
      <c r="BM58" s="87">
        <f t="shared" si="93"/>
        <v>-5.999999999837133E-3</v>
      </c>
      <c r="BN58" s="69">
        <f t="shared" si="76"/>
        <v>-1.9999999998958629E-3</v>
      </c>
      <c r="BO58" s="70">
        <f>SIM_BASE!AB9</f>
        <v>82538.734659109134</v>
      </c>
      <c r="BP58" s="70">
        <f>SIM_BASE!AC9</f>
        <v>80704.781294578046</v>
      </c>
      <c r="BQ58" s="70">
        <f>SIM_BASE!AD9</f>
        <v>83859.823210750474</v>
      </c>
      <c r="BR58" s="94">
        <f t="shared" si="94"/>
        <v>81699.288216727946</v>
      </c>
      <c r="BS58" s="71">
        <f>SIM_BASE!AE9</f>
        <v>7730.6606277324245</v>
      </c>
    </row>
    <row r="59" spans="1:71">
      <c r="A59" s="348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48">
        <v>4</v>
      </c>
      <c r="AL59" s="81">
        <v>2019</v>
      </c>
      <c r="AM59" s="81" t="s">
        <v>3</v>
      </c>
      <c r="AN59" s="74">
        <f>SIM_BASE!E16</f>
        <v>52.447875297286458</v>
      </c>
      <c r="AO59" s="74">
        <f>SIM_BASE!F16</f>
        <v>56.89881934659202</v>
      </c>
      <c r="AP59" s="74">
        <f>SIM_BASE!G16</f>
        <v>5.6250543220431437</v>
      </c>
      <c r="AQ59" s="95">
        <f t="shared" si="88"/>
        <v>114.97174896592162</v>
      </c>
      <c r="AR59" s="75">
        <f>SIM_BASE!H16</f>
        <v>320.97592000891132</v>
      </c>
      <c r="AS59" s="74">
        <f>SIM_BASE!K16</f>
        <v>50.249678419034481</v>
      </c>
      <c r="AT59" s="74">
        <f>SIM_BASE!L16</f>
        <v>65.855158030622448</v>
      </c>
      <c r="AU59" s="74">
        <f>SIM_BASE!M16</f>
        <v>7.3389485345607133</v>
      </c>
      <c r="AV59" s="95">
        <f t="shared" si="89"/>
        <v>123.44378498421764</v>
      </c>
      <c r="AW59" s="74">
        <f>SIM_BASE!N16</f>
        <v>20.03531304948169</v>
      </c>
      <c r="AX59" s="74">
        <f>SIM_BASE!O16</f>
        <v>797.45451246377388</v>
      </c>
      <c r="AY59" s="98">
        <f t="shared" si="90"/>
        <v>817.4898255132556</v>
      </c>
      <c r="AZ59" s="72">
        <f>SIM_BASE!V16</f>
        <v>2.199196878251978</v>
      </c>
      <c r="BA59" s="72">
        <f>SIM_BASE!W16</f>
        <v>-8.9553386840304157</v>
      </c>
      <c r="BB59" s="72">
        <f>SIM_BASE!X16</f>
        <v>-1.7128942125175708</v>
      </c>
      <c r="BC59" s="88">
        <f t="shared" si="91"/>
        <v>-8.4690360182960074</v>
      </c>
      <c r="BD59" s="73">
        <f>SIM_BASE!Y16</f>
        <v>-155.60467954264638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92"/>
        <v>3.0000000000000001E-3</v>
      </c>
      <c r="BI59" s="75">
        <f>SIM_BASE!U16</f>
        <v>-340.90722596169792</v>
      </c>
      <c r="BJ59" s="72">
        <f t="shared" si="73"/>
        <v>-2.0000000000007781E-3</v>
      </c>
      <c r="BK59" s="72">
        <f t="shared" si="74"/>
        <v>-2.0000000000118803E-3</v>
      </c>
      <c r="BL59" s="72">
        <f t="shared" si="75"/>
        <v>-1.9999999999987797E-3</v>
      </c>
      <c r="BM59" s="88">
        <f t="shared" si="93"/>
        <v>-6.000000000011438E-3</v>
      </c>
      <c r="BN59" s="73">
        <f t="shared" si="76"/>
        <v>-1.9999999999527063E-3</v>
      </c>
      <c r="BO59" s="74">
        <f>SIM_BASE!AB16</f>
        <v>112779.04228066416</v>
      </c>
      <c r="BP59" s="74">
        <f>SIM_BASE!AC16</f>
        <v>83391.92300691425</v>
      </c>
      <c r="BQ59" s="74">
        <f>SIM_BASE!AD16</f>
        <v>94538.899138441804</v>
      </c>
      <c r="BR59" s="95">
        <f t="shared" si="94"/>
        <v>96017.106020479929</v>
      </c>
      <c r="BS59" s="75">
        <f>SIM_BASE!AE16</f>
        <v>8031.383887663862</v>
      </c>
    </row>
    <row r="60" spans="1:71">
      <c r="A60" s="348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48">
        <v>4</v>
      </c>
      <c r="AL60" s="81">
        <v>2020</v>
      </c>
      <c r="AM60" s="81" t="s">
        <v>3</v>
      </c>
      <c r="AN60" s="74">
        <f>SIM_BASE!E23</f>
        <v>57.227611797022838</v>
      </c>
      <c r="AO60" s="74">
        <f>SIM_BASE!F23</f>
        <v>65.98248748148329</v>
      </c>
      <c r="AP60" s="74">
        <f>SIM_BASE!G23</f>
        <v>5.6688732759452378</v>
      </c>
      <c r="AQ60" s="95">
        <f t="shared" si="88"/>
        <v>128.87897255445137</v>
      </c>
      <c r="AR60" s="75">
        <f>SIM_BASE!H23</f>
        <v>334.44031739279046</v>
      </c>
      <c r="AS60" s="74">
        <f>SIM_BASE!K23</f>
        <v>60.441482534028097</v>
      </c>
      <c r="AT60" s="74">
        <f>SIM_BASE!L23</f>
        <v>75.955189953030811</v>
      </c>
      <c r="AU60" s="74">
        <f>SIM_BASE!M23</f>
        <v>7.4049931322422005</v>
      </c>
      <c r="AV60" s="95">
        <f t="shared" si="89"/>
        <v>143.8016656193011</v>
      </c>
      <c r="AW60" s="74">
        <f>SIM_BASE!N23</f>
        <v>21.719325730668675</v>
      </c>
      <c r="AX60" s="74">
        <f>SIM_BASE!O23</f>
        <v>940.88816091263675</v>
      </c>
      <c r="AY60" s="98">
        <f t="shared" si="90"/>
        <v>962.60748664330538</v>
      </c>
      <c r="AZ60" s="72">
        <f>SIM_BASE!V23</f>
        <v>-3.2128707370052592</v>
      </c>
      <c r="BA60" s="72">
        <f>SIM_BASE!W23</f>
        <v>-9.9717024715475286</v>
      </c>
      <c r="BB60" s="72">
        <f>SIM_BASE!X23</f>
        <v>-1.7351198562969627</v>
      </c>
      <c r="BC60" s="88">
        <f t="shared" si="91"/>
        <v>-14.919693064849751</v>
      </c>
      <c r="BD60" s="73">
        <f>SIM_BASE!Y23</f>
        <v>-36.298253753981761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92"/>
        <v>3.0000000000000001E-3</v>
      </c>
      <c r="BI60" s="75">
        <f>SIM_BASE!U23</f>
        <v>-591.86691549653324</v>
      </c>
      <c r="BJ60" s="72">
        <f t="shared" si="73"/>
        <v>-1.9999999999994458E-3</v>
      </c>
      <c r="BK60" s="72">
        <f t="shared" si="74"/>
        <v>-1.9999999999923404E-3</v>
      </c>
      <c r="BL60" s="72">
        <f t="shared" si="75"/>
        <v>-1.9999999999998899E-3</v>
      </c>
      <c r="BM60" s="88">
        <f t="shared" si="93"/>
        <v>-5.9999999999916761E-3</v>
      </c>
      <c r="BN60" s="73">
        <f t="shared" si="76"/>
        <v>-1.9999999999527063E-3</v>
      </c>
      <c r="BO60" s="74">
        <f>SIM_BASE!AB23</f>
        <v>132085.18483331805</v>
      </c>
      <c r="BP60" s="74">
        <f>SIM_BASE!AC23</f>
        <v>102209.28793574733</v>
      </c>
      <c r="BQ60" s="74">
        <f>SIM_BASE!AD23</f>
        <v>94484.002381881641</v>
      </c>
      <c r="BR60" s="95">
        <f t="shared" si="94"/>
        <v>114368.65901480714</v>
      </c>
      <c r="BS60" s="75">
        <f>SIM_BASE!AE23</f>
        <v>8249.6304758726365</v>
      </c>
    </row>
    <row r="61" spans="1:71">
      <c r="A61" s="348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48">
        <v>4</v>
      </c>
      <c r="AL61" s="81">
        <v>2021</v>
      </c>
      <c r="AM61" s="81" t="s">
        <v>3</v>
      </c>
      <c r="AN61" s="74">
        <f>SIM_BASE!E30</f>
        <v>58.96965761173837</v>
      </c>
      <c r="AO61" s="74">
        <f>SIM_BASE!F30</f>
        <v>69.157794897664104</v>
      </c>
      <c r="AP61" s="74">
        <f>SIM_BASE!G30</f>
        <v>6.0173277050712182</v>
      </c>
      <c r="AQ61" s="95">
        <f t="shared" si="88"/>
        <v>134.14478021447368</v>
      </c>
      <c r="AR61" s="75">
        <f>SIM_BASE!H30</f>
        <v>348.01934799225467</v>
      </c>
      <c r="AS61" s="74">
        <f>SIM_BASE!K30</f>
        <v>62.18322726660039</v>
      </c>
      <c r="AT61" s="74">
        <f>SIM_BASE!L30</f>
        <v>79.696520129499447</v>
      </c>
      <c r="AU61" s="74">
        <f>SIM_BASE!M30</f>
        <v>7.8557003768387492</v>
      </c>
      <c r="AV61" s="95">
        <f t="shared" si="89"/>
        <v>149.73544777293858</v>
      </c>
      <c r="AW61" s="74">
        <f>SIM_BASE!N30</f>
        <v>22.074307260969714</v>
      </c>
      <c r="AX61" s="74">
        <f>SIM_BASE!O30</f>
        <v>989.97147564506156</v>
      </c>
      <c r="AY61" s="98">
        <f t="shared" si="90"/>
        <v>1012.0457829060313</v>
      </c>
      <c r="AZ61" s="72">
        <f>SIM_BASE!V30</f>
        <v>-3.2125696548620124</v>
      </c>
      <c r="BA61" s="72">
        <f>SIM_BASE!W30</f>
        <v>-10.537725231835367</v>
      </c>
      <c r="BB61" s="72">
        <f>SIM_BASE!X30</f>
        <v>-1.8373726717675312</v>
      </c>
      <c r="BC61" s="88">
        <f t="shared" si="91"/>
        <v>-15.58766755846491</v>
      </c>
      <c r="BD61" s="73">
        <f>SIM_BASE!Y30</f>
        <v>-29.459579415973614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92"/>
        <v>3.0000000000000001E-3</v>
      </c>
      <c r="BI61" s="75">
        <f>SIM_BASE!U30</f>
        <v>-634.56485549780314</v>
      </c>
      <c r="BJ61" s="72">
        <f t="shared" si="73"/>
        <v>-2.0000000000078835E-3</v>
      </c>
      <c r="BK61" s="72">
        <f t="shared" si="74"/>
        <v>-1.9999999999763532E-3</v>
      </c>
      <c r="BL61" s="72">
        <f t="shared" si="75"/>
        <v>-1.9999999999998899E-3</v>
      </c>
      <c r="BM61" s="88">
        <f t="shared" si="93"/>
        <v>-5.9999999999841265E-3</v>
      </c>
      <c r="BN61" s="73">
        <f t="shared" si="76"/>
        <v>-1.9999999998390194E-3</v>
      </c>
      <c r="BO61" s="74">
        <f>SIM_BASE!AB30</f>
        <v>139541.64283063053</v>
      </c>
      <c r="BP61" s="74">
        <f>SIM_BASE!AC30</f>
        <v>105724.09359382145</v>
      </c>
      <c r="BQ61" s="74">
        <f>SIM_BASE!AD30</f>
        <v>97116.900768190637</v>
      </c>
      <c r="BR61" s="95">
        <f t="shared" si="94"/>
        <v>119316.52512649655</v>
      </c>
      <c r="BS61" s="75">
        <f>SIM_BASE!AE30</f>
        <v>8505.6259350381606</v>
      </c>
    </row>
    <row r="62" spans="1:71">
      <c r="A62" s="348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48">
        <v>4</v>
      </c>
      <c r="AL62" s="81">
        <v>2022</v>
      </c>
      <c r="AM62" s="81" t="s">
        <v>3</v>
      </c>
      <c r="AN62" s="74">
        <f>SIM_BASE!E37</f>
        <v>60.748326487204466</v>
      </c>
      <c r="AO62" s="74">
        <f>SIM_BASE!F37</f>
        <v>72.933706795250828</v>
      </c>
      <c r="AP62" s="74">
        <f>SIM_BASE!G37</f>
        <v>6.4405850493654206</v>
      </c>
      <c r="AQ62" s="95">
        <f t="shared" si="88"/>
        <v>140.12261833182069</v>
      </c>
      <c r="AR62" s="75">
        <f>SIM_BASE!H37</f>
        <v>363.5977862268403</v>
      </c>
      <c r="AS62" s="74">
        <f>SIM_BASE!K37</f>
        <v>63.979184444667439</v>
      </c>
      <c r="AT62" s="74">
        <f>SIM_BASE!L37</f>
        <v>83.976988086498238</v>
      </c>
      <c r="AU62" s="74">
        <f>SIM_BASE!M37</f>
        <v>8.4019216150971268</v>
      </c>
      <c r="AV62" s="95">
        <f t="shared" si="89"/>
        <v>156.35809414626283</v>
      </c>
      <c r="AW62" s="74">
        <f>SIM_BASE!N37</f>
        <v>22.355092551715174</v>
      </c>
      <c r="AX62" s="74">
        <f>SIM_BASE!O37</f>
        <v>1042.4297500721989</v>
      </c>
      <c r="AY62" s="98">
        <f t="shared" si="90"/>
        <v>1064.7848426239141</v>
      </c>
      <c r="AZ62" s="72">
        <f>SIM_BASE!V37</f>
        <v>-3.2298579574629684</v>
      </c>
      <c r="BA62" s="72">
        <f>SIM_BASE!W37</f>
        <v>-11.042281291247422</v>
      </c>
      <c r="BB62" s="72">
        <f>SIM_BASE!X37</f>
        <v>-1.960336565731698</v>
      </c>
      <c r="BC62" s="88">
        <f t="shared" si="91"/>
        <v>-16.23247581444209</v>
      </c>
      <c r="BD62" s="73">
        <f>SIM_BASE!Y37</f>
        <v>-27.865724945978734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92"/>
        <v>3.0000000000000001E-3</v>
      </c>
      <c r="BI62" s="75">
        <f>SIM_BASE!U37</f>
        <v>-673.3193314510952</v>
      </c>
      <c r="BJ62" s="72">
        <f t="shared" si="73"/>
        <v>-2.0000000000047749E-3</v>
      </c>
      <c r="BK62" s="72">
        <f t="shared" si="74"/>
        <v>-1.9999999999887877E-3</v>
      </c>
      <c r="BL62" s="72">
        <f t="shared" si="75"/>
        <v>-2.0000000000081055E-3</v>
      </c>
      <c r="BM62" s="88">
        <f t="shared" si="93"/>
        <v>-6.0000000000016681E-3</v>
      </c>
      <c r="BN62" s="73">
        <f t="shared" si="76"/>
        <v>-1.9999999998390194E-3</v>
      </c>
      <c r="BO62" s="74">
        <f>SIM_BASE!AB37</f>
        <v>147193.9153873357</v>
      </c>
      <c r="BP62" s="74">
        <f>SIM_BASE!AC37</f>
        <v>108637.0784331766</v>
      </c>
      <c r="BQ62" s="74">
        <f>SIM_BASE!AD37</f>
        <v>98906.880820427963</v>
      </c>
      <c r="BR62" s="95">
        <f t="shared" si="94"/>
        <v>123891.05449673942</v>
      </c>
      <c r="BS62" s="75">
        <f>SIM_BASE!AE37</f>
        <v>8769.3734657658315</v>
      </c>
    </row>
    <row r="63" spans="1:71">
      <c r="A63" s="348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48">
        <v>4</v>
      </c>
      <c r="AL63" s="81">
        <v>2023</v>
      </c>
      <c r="AM63" s="81" t="s">
        <v>3</v>
      </c>
      <c r="AN63" s="74">
        <f>SIM_BASE!E44</f>
        <v>62.674346680116635</v>
      </c>
      <c r="AO63" s="74">
        <f>SIM_BASE!F44</f>
        <v>77.337389679933622</v>
      </c>
      <c r="AP63" s="74">
        <f>SIM_BASE!G44</f>
        <v>6.9502904928661877</v>
      </c>
      <c r="AQ63" s="95">
        <f t="shared" si="88"/>
        <v>146.96202685291644</v>
      </c>
      <c r="AR63" s="75">
        <f>SIM_BASE!H44</f>
        <v>381.03802942179107</v>
      </c>
      <c r="AS63" s="74">
        <f>SIM_BASE!K44</f>
        <v>65.69375898469346</v>
      </c>
      <c r="AT63" s="74">
        <f>SIM_BASE!L44</f>
        <v>88.945749236224088</v>
      </c>
      <c r="AU63" s="74">
        <f>SIM_BASE!M44</f>
        <v>9.0623410956210098</v>
      </c>
      <c r="AV63" s="95">
        <f t="shared" si="89"/>
        <v>163.70184931653856</v>
      </c>
      <c r="AW63" s="74">
        <f>SIM_BASE!N44</f>
        <v>22.586333241702242</v>
      </c>
      <c r="AX63" s="74">
        <f>SIM_BASE!O44</f>
        <v>1099.7679807023633</v>
      </c>
      <c r="AY63" s="98">
        <f t="shared" si="90"/>
        <v>1122.3543139440656</v>
      </c>
      <c r="AZ63" s="72">
        <f>SIM_BASE!V44</f>
        <v>-3.0184123045768469</v>
      </c>
      <c r="BA63" s="72">
        <f>SIM_BASE!W44</f>
        <v>-11.607359556290474</v>
      </c>
      <c r="BB63" s="72">
        <f>SIM_BASE!X44</f>
        <v>-2.1110506027548239</v>
      </c>
      <c r="BC63" s="88">
        <f t="shared" si="91"/>
        <v>-16.736822463622143</v>
      </c>
      <c r="BD63" s="73">
        <f>SIM_BASE!Y44</f>
        <v>-27.987831792946828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92"/>
        <v>3.0000000000000001E-3</v>
      </c>
      <c r="BI63" s="75">
        <f>SIM_BASE!U44</f>
        <v>-713.32645272932746</v>
      </c>
      <c r="BJ63" s="72">
        <f t="shared" si="73"/>
        <v>-1.9999999999781295E-3</v>
      </c>
      <c r="BK63" s="72">
        <f t="shared" si="74"/>
        <v>-1.9999999999923404E-3</v>
      </c>
      <c r="BL63" s="72">
        <f t="shared" si="75"/>
        <v>-1.9999999999981135E-3</v>
      </c>
      <c r="BM63" s="88">
        <f t="shared" si="93"/>
        <v>-5.9999999999685834E-3</v>
      </c>
      <c r="BN63" s="73">
        <f t="shared" si="76"/>
        <v>-2.0000000000663931E-3</v>
      </c>
      <c r="BO63" s="74">
        <f>SIM_BASE!AB44</f>
        <v>155450.559822468</v>
      </c>
      <c r="BP63" s="74">
        <f>SIM_BASE!AC44</f>
        <v>110789.79105762654</v>
      </c>
      <c r="BQ63" s="74">
        <f>SIM_BASE!AD44</f>
        <v>99788.769297526029</v>
      </c>
      <c r="BR63" s="95">
        <f t="shared" si="94"/>
        <v>128103.21042064106</v>
      </c>
      <c r="BS63" s="75">
        <f>SIM_BASE!AE44</f>
        <v>9028.0060226024689</v>
      </c>
    </row>
    <row r="64" spans="1:71">
      <c r="A64" s="348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48">
        <v>4</v>
      </c>
      <c r="AL64" s="81">
        <v>2024</v>
      </c>
      <c r="AM64" s="81" t="s">
        <v>3</v>
      </c>
      <c r="AN64" s="74">
        <f>SIM_BASE!E51</f>
        <v>64.599501815588781</v>
      </c>
      <c r="AO64" s="74">
        <f>SIM_BASE!F51</f>
        <v>82.453093917806598</v>
      </c>
      <c r="AP64" s="74">
        <f>SIM_BASE!G51</f>
        <v>7.560418675472226</v>
      </c>
      <c r="AQ64" s="95">
        <f t="shared" si="88"/>
        <v>154.6130144088676</v>
      </c>
      <c r="AR64" s="75">
        <f>SIM_BASE!H51</f>
        <v>400.97718694990658</v>
      </c>
      <c r="AS64" s="74">
        <f>SIM_BASE!K51</f>
        <v>67.51517579392295</v>
      </c>
      <c r="AT64" s="74">
        <f>SIM_BASE!L51</f>
        <v>94.693028561623734</v>
      </c>
      <c r="AU64" s="74">
        <f>SIM_BASE!M51</f>
        <v>9.8592550450511123</v>
      </c>
      <c r="AV64" s="95">
        <f t="shared" si="89"/>
        <v>172.06745940059778</v>
      </c>
      <c r="AW64" s="74">
        <f>SIM_BASE!N51</f>
        <v>22.681924623838672</v>
      </c>
      <c r="AX64" s="74">
        <f>SIM_BASE!O51</f>
        <v>1160.6238547038361</v>
      </c>
      <c r="AY64" s="98">
        <f t="shared" si="90"/>
        <v>1183.3057793276748</v>
      </c>
      <c r="AZ64" s="72">
        <f>SIM_BASE!V51</f>
        <v>-2.9146739783341697</v>
      </c>
      <c r="BA64" s="72">
        <f>SIM_BASE!W51</f>
        <v>-12.23893464381716</v>
      </c>
      <c r="BB64" s="72">
        <f>SIM_BASE!X51</f>
        <v>-2.2978363695788824</v>
      </c>
      <c r="BC64" s="88">
        <f t="shared" si="91"/>
        <v>-17.451444991730213</v>
      </c>
      <c r="BD64" s="73">
        <f>SIM_BASE!Y51</f>
        <v>-30.821044982849468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92"/>
        <v>3.0000000000000001E-3</v>
      </c>
      <c r="BI64" s="75">
        <f>SIM_BASE!U51</f>
        <v>-751.50554739491895</v>
      </c>
      <c r="BJ64" s="72">
        <f t="shared" si="73"/>
        <v>-1.9999999999994458E-3</v>
      </c>
      <c r="BK64" s="72">
        <f t="shared" si="74"/>
        <v>-1.9999999999763532E-3</v>
      </c>
      <c r="BL64" s="72">
        <f t="shared" si="75"/>
        <v>-2.0000000000038867E-3</v>
      </c>
      <c r="BM64" s="88">
        <f t="shared" si="93"/>
        <v>-5.9999999999796856E-3</v>
      </c>
      <c r="BN64" s="73">
        <f t="shared" si="76"/>
        <v>-1.9999999997253326E-3</v>
      </c>
      <c r="BO64" s="74">
        <f>SIM_BASE!AB51</f>
        <v>163719.38467827419</v>
      </c>
      <c r="BP64" s="74">
        <f>SIM_BASE!AC51</f>
        <v>112135.96007639632</v>
      </c>
      <c r="BQ64" s="74">
        <f>SIM_BASE!AD51</f>
        <v>99733.252168822757</v>
      </c>
      <c r="BR64" s="95">
        <f t="shared" si="94"/>
        <v>131665.40818497137</v>
      </c>
      <c r="BS64" s="75">
        <f>SIM_BASE!AE51</f>
        <v>9296.5406246325547</v>
      </c>
    </row>
    <row r="65" spans="1:71">
      <c r="A65" s="348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48">
        <v>4</v>
      </c>
      <c r="AL65" s="81">
        <v>2025</v>
      </c>
      <c r="AM65" s="81" t="s">
        <v>3</v>
      </c>
      <c r="AN65" s="74">
        <f>SIM_BASE!E58</f>
        <v>66.604982749720605</v>
      </c>
      <c r="AO65" s="74">
        <f>SIM_BASE!F58</f>
        <v>88.353886841477276</v>
      </c>
      <c r="AP65" s="74">
        <f>SIM_BASE!G58</f>
        <v>8.2913721379262721</v>
      </c>
      <c r="AQ65" s="95">
        <f t="shared" si="88"/>
        <v>163.25024172912413</v>
      </c>
      <c r="AR65" s="75">
        <f>SIM_BASE!H58</f>
        <v>423.7226845494331</v>
      </c>
      <c r="AS65" s="74">
        <f>SIM_BASE!K58</f>
        <v>69.342433705324609</v>
      </c>
      <c r="AT65" s="74">
        <f>SIM_BASE!L58</f>
        <v>101.37415286724506</v>
      </c>
      <c r="AU65" s="74">
        <f>SIM_BASE!M58</f>
        <v>10.817117010630398</v>
      </c>
      <c r="AV65" s="95">
        <f t="shared" si="89"/>
        <v>181.53370358320007</v>
      </c>
      <c r="AW65" s="74">
        <f>SIM_BASE!N58</f>
        <v>22.658507904634117</v>
      </c>
      <c r="AX65" s="74">
        <f>SIM_BASE!O58</f>
        <v>1225.8994966607765</v>
      </c>
      <c r="AY65" s="98">
        <f t="shared" si="90"/>
        <v>1248.5580045654106</v>
      </c>
      <c r="AZ65" s="72">
        <f>SIM_BASE!V58</f>
        <v>-2.736450955603936</v>
      </c>
      <c r="BA65" s="72">
        <f>SIM_BASE!W58</f>
        <v>-13.019266025767815</v>
      </c>
      <c r="BB65" s="72">
        <f>SIM_BASE!X58</f>
        <v>-2.5247448727041211</v>
      </c>
      <c r="BC65" s="88">
        <f t="shared" si="91"/>
        <v>-18.280461854075874</v>
      </c>
      <c r="BD65" s="73">
        <f>SIM_BASE!Y58</f>
        <v>-37.28327171363388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92"/>
        <v>3.0000000000000001E-3</v>
      </c>
      <c r="BI65" s="75">
        <f>SIM_BASE!U58</f>
        <v>-787.55004830234361</v>
      </c>
      <c r="BJ65" s="72">
        <f t="shared" si="73"/>
        <v>-2.0000000000678355E-3</v>
      </c>
      <c r="BK65" s="72">
        <f t="shared" si="74"/>
        <v>-1.9999999999674714E-3</v>
      </c>
      <c r="BL65" s="72">
        <f t="shared" si="75"/>
        <v>-2.0000000000043308E-3</v>
      </c>
      <c r="BM65" s="88">
        <f t="shared" si="93"/>
        <v>-6.0000000000396377E-3</v>
      </c>
      <c r="BN65" s="73">
        <f t="shared" si="76"/>
        <v>-2.0000000000663931E-3</v>
      </c>
      <c r="BO65" s="74">
        <f>SIM_BASE!AB58</f>
        <v>172308.83147574455</v>
      </c>
      <c r="BP65" s="74">
        <f>SIM_BASE!AC58</f>
        <v>112591.22495055789</v>
      </c>
      <c r="BQ65" s="74">
        <f>SIM_BASE!AD58</f>
        <v>98758.471606704494</v>
      </c>
      <c r="BR65" s="95">
        <f t="shared" si="94"/>
        <v>134577.96119419142</v>
      </c>
      <c r="BS65" s="75">
        <f>SIM_BASE!AE58</f>
        <v>9575.3645706595744</v>
      </c>
    </row>
    <row r="66" spans="1:71">
      <c r="A66" s="348">
        <v>4</v>
      </c>
      <c r="B66" s="81">
        <v>2026</v>
      </c>
      <c r="C66" s="81" t="s">
        <v>3</v>
      </c>
      <c r="D66" s="74">
        <v>74.328430315222292</v>
      </c>
      <c r="E66" s="74">
        <v>90.854034431489637</v>
      </c>
      <c r="F66" s="74">
        <v>9.1075610511471776</v>
      </c>
      <c r="G66" s="95">
        <v>174.2900257978591</v>
      </c>
      <c r="H66" s="75">
        <v>440.76458864257029</v>
      </c>
      <c r="I66" s="74">
        <v>92.999730519612967</v>
      </c>
      <c r="J66" s="74">
        <v>118.69017739297422</v>
      </c>
      <c r="K66" s="74">
        <v>11.93193145619102</v>
      </c>
      <c r="L66" s="95">
        <v>223.62183936877821</v>
      </c>
      <c r="M66" s="74">
        <v>18.997417539389474</v>
      </c>
      <c r="N66" s="74">
        <v>1182.142823840702</v>
      </c>
      <c r="O66" s="98">
        <v>1201.1402413800915</v>
      </c>
      <c r="P66" s="72">
        <v>-18.670300204390696</v>
      </c>
      <c r="Q66" s="72">
        <v>-27.835142961484632</v>
      </c>
      <c r="R66" s="72">
        <v>-2.8233704050438324</v>
      </c>
      <c r="S66" s="88">
        <v>-49.328813570919159</v>
      </c>
      <c r="T66" s="73">
        <v>-156.20942884401066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-604.16422389351078</v>
      </c>
      <c r="Z66" s="72">
        <v>-1.9999999999799059E-3</v>
      </c>
      <c r="AA66" s="72">
        <v>-1.9999999999514842E-3</v>
      </c>
      <c r="AB66" s="72">
        <v>-2.0000000000096598E-3</v>
      </c>
      <c r="AC66" s="88">
        <v>-5.9999999999410499E-3</v>
      </c>
      <c r="AD66" s="73">
        <v>-1.9999999998390194E-3</v>
      </c>
      <c r="AE66" s="74">
        <v>123919.74287280266</v>
      </c>
      <c r="AF66" s="74">
        <v>96911.236035620313</v>
      </c>
      <c r="AG66" s="74">
        <v>92673.357027245205</v>
      </c>
      <c r="AH66" s="95">
        <v>107917.39617943653</v>
      </c>
      <c r="AI66" s="75">
        <v>9853.3178769007336</v>
      </c>
      <c r="AK66" s="348">
        <v>4</v>
      </c>
      <c r="AL66" s="81">
        <v>2026</v>
      </c>
      <c r="AM66" s="81" t="s">
        <v>3</v>
      </c>
      <c r="AN66" s="74">
        <f>SIM_BASE!E65</f>
        <v>68.666601551303643</v>
      </c>
      <c r="AO66" s="74">
        <f>SIM_BASE!F65</f>
        <v>95.285350240832315</v>
      </c>
      <c r="AP66" s="74">
        <f>SIM_BASE!G65</f>
        <v>9.1651865028809834</v>
      </c>
      <c r="AQ66" s="95">
        <f t="shared" si="88"/>
        <v>173.11713829501693</v>
      </c>
      <c r="AR66" s="75">
        <f>SIM_BASE!H65</f>
        <v>449.29950450017174</v>
      </c>
      <c r="AS66" s="74">
        <f>SIM_BASE!K65</f>
        <v>71.212230664373834</v>
      </c>
      <c r="AT66" s="74">
        <f>SIM_BASE!L65</f>
        <v>108.97093478274805</v>
      </c>
      <c r="AU66" s="74">
        <f>SIM_BASE!M65</f>
        <v>11.97372567081451</v>
      </c>
      <c r="AV66" s="95">
        <f t="shared" si="89"/>
        <v>192.1568911179364</v>
      </c>
      <c r="AW66" s="74">
        <f>SIM_BASE!N65</f>
        <v>22.519357332948854</v>
      </c>
      <c r="AX66" s="74">
        <f>SIM_BASE!O65</f>
        <v>1297.8380992666766</v>
      </c>
      <c r="AY66" s="98">
        <f t="shared" si="90"/>
        <v>1320.3574565996255</v>
      </c>
      <c r="AZ66" s="72">
        <f>SIM_BASE!V65</f>
        <v>-2.5446291130701719</v>
      </c>
      <c r="BA66" s="72">
        <f>SIM_BASE!W65</f>
        <v>-13.684584541915749</v>
      </c>
      <c r="BB66" s="72">
        <f>SIM_BASE!X65</f>
        <v>-2.8075391679335318</v>
      </c>
      <c r="BC66" s="88">
        <f t="shared" si="91"/>
        <v>-19.03675282291945</v>
      </c>
      <c r="BD66" s="73">
        <f>SIM_BASE!Y65</f>
        <v>-46.87092055614962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92"/>
        <v>3.0000000000000001E-3</v>
      </c>
      <c r="BI66" s="75">
        <f>SIM_BASE!U65</f>
        <v>-824.18503154330404</v>
      </c>
      <c r="BJ66" s="72">
        <f t="shared" si="73"/>
        <v>-2.0000000000194298E-3</v>
      </c>
      <c r="BK66" s="72">
        <f t="shared" si="74"/>
        <v>-1.9999999999816822E-3</v>
      </c>
      <c r="BL66" s="72">
        <f t="shared" si="75"/>
        <v>-1.9999999999945608E-3</v>
      </c>
      <c r="BM66" s="88">
        <f t="shared" si="93"/>
        <v>-5.9999999999956729E-3</v>
      </c>
      <c r="BN66" s="73">
        <f t="shared" si="76"/>
        <v>-2.00000000018008E-3</v>
      </c>
      <c r="BO66" s="74">
        <f>SIM_BASE!AB65</f>
        <v>181091.88070300908</v>
      </c>
      <c r="BP66" s="74">
        <f>SIM_BASE!AC65</f>
        <v>112363.94278044111</v>
      </c>
      <c r="BQ66" s="74">
        <f>SIM_BASE!AD65</f>
        <v>96881.132023032347</v>
      </c>
      <c r="BR66" s="95">
        <f t="shared" si="94"/>
        <v>136869.34985905714</v>
      </c>
      <c r="BS66" s="75">
        <f>SIM_BASE!AE65</f>
        <v>9852.9541876092553</v>
      </c>
    </row>
    <row r="67" spans="1:71">
      <c r="A67" s="348">
        <v>4</v>
      </c>
      <c r="B67" s="81">
        <v>2027</v>
      </c>
      <c r="C67" s="81" t="s">
        <v>3</v>
      </c>
      <c r="D67" s="74">
        <v>76.38214345135772</v>
      </c>
      <c r="E67" s="74">
        <v>98.433184046425765</v>
      </c>
      <c r="F67" s="74">
        <v>10.186188182775243</v>
      </c>
      <c r="G67" s="95">
        <v>185.00151568055873</v>
      </c>
      <c r="H67" s="75">
        <v>469.37666496641179</v>
      </c>
      <c r="I67" s="74">
        <v>95.897601687134454</v>
      </c>
      <c r="J67" s="74">
        <v>128.35892892094196</v>
      </c>
      <c r="K67" s="74">
        <v>13.266774176446967</v>
      </c>
      <c r="L67" s="95">
        <v>237.52330478452339</v>
      </c>
      <c r="M67" s="74">
        <v>18.810945707761654</v>
      </c>
      <c r="N67" s="74">
        <v>1249.778614414754</v>
      </c>
      <c r="O67" s="98">
        <v>1268.5895601225156</v>
      </c>
      <c r="P67" s="72">
        <v>-19.514458235776726</v>
      </c>
      <c r="Q67" s="72">
        <v>-29.924744874516076</v>
      </c>
      <c r="R67" s="72">
        <v>-3.0795859936717256</v>
      </c>
      <c r="S67" s="88">
        <v>-52.518789103964529</v>
      </c>
      <c r="T67" s="73">
        <v>-172.2035506678308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-627.00734448827313</v>
      </c>
      <c r="Z67" s="72">
        <v>-2.0000000000083276E-3</v>
      </c>
      <c r="AA67" s="72">
        <v>-2.0000000001220144E-3</v>
      </c>
      <c r="AB67" s="72">
        <v>-1.9999999999981135E-3</v>
      </c>
      <c r="AC67" s="88">
        <v>-6.0000000001284555E-3</v>
      </c>
      <c r="AD67" s="73">
        <v>-1.9999999999527063E-3</v>
      </c>
      <c r="AE67" s="74">
        <v>129368.81109487746</v>
      </c>
      <c r="AF67" s="74">
        <v>95903.777914750535</v>
      </c>
      <c r="AG67" s="74">
        <v>90496.188182947502</v>
      </c>
      <c r="AH67" s="95">
        <v>109112.90345041156</v>
      </c>
      <c r="AI67" s="75">
        <v>10141.087475402868</v>
      </c>
      <c r="AK67" s="348">
        <v>4</v>
      </c>
      <c r="AL67" s="81">
        <v>2027</v>
      </c>
      <c r="AM67" s="81" t="s">
        <v>3</v>
      </c>
      <c r="AN67" s="74">
        <f>SIM_BASE!E72</f>
        <v>70.65188391287748</v>
      </c>
      <c r="AO67" s="74">
        <f>SIM_BASE!F72</f>
        <v>103.18489622616113</v>
      </c>
      <c r="AP67" s="74">
        <f>SIM_BASE!G72</f>
        <v>10.213314381579941</v>
      </c>
      <c r="AQ67" s="95">
        <f t="shared" si="88"/>
        <v>184.05009452061856</v>
      </c>
      <c r="AR67" s="75">
        <f>SIM_BASE!H72</f>
        <v>478.36646953892534</v>
      </c>
      <c r="AS67" s="74">
        <f>SIM_BASE!K72</f>
        <v>73.292367197734237</v>
      </c>
      <c r="AT67" s="74">
        <f>SIM_BASE!L72</f>
        <v>117.91936326113637</v>
      </c>
      <c r="AU67" s="74">
        <f>SIM_BASE!M72</f>
        <v>13.367212637300286</v>
      </c>
      <c r="AV67" s="95">
        <f t="shared" si="89"/>
        <v>204.57894309617089</v>
      </c>
      <c r="AW67" s="74">
        <f>SIM_BASE!N72</f>
        <v>22.226802484287507</v>
      </c>
      <c r="AX67" s="74">
        <f>SIM_BASE!O72</f>
        <v>1373.3056354772084</v>
      </c>
      <c r="AY67" s="98">
        <f t="shared" si="90"/>
        <v>1395.5324379614958</v>
      </c>
      <c r="AZ67" s="72">
        <f>SIM_BASE!V72</f>
        <v>-2.6394832848567638</v>
      </c>
      <c r="BA67" s="72">
        <f>SIM_BASE!W72</f>
        <v>-14.733467034975225</v>
      </c>
      <c r="BB67" s="72">
        <f>SIM_BASE!X72</f>
        <v>-3.1528982557203462</v>
      </c>
      <c r="BC67" s="88">
        <f t="shared" si="91"/>
        <v>-20.525848575552335</v>
      </c>
      <c r="BD67" s="73">
        <f>SIM_BASE!Y72</f>
        <v>-62.41693992886217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92"/>
        <v>3.0000000000000001E-3</v>
      </c>
      <c r="BI67" s="75">
        <f>SIM_BASE!U72</f>
        <v>-854.7470284937084</v>
      </c>
      <c r="BJ67" s="72">
        <f t="shared" si="73"/>
        <v>-1.9999999999927845E-3</v>
      </c>
      <c r="BK67" s="72">
        <f t="shared" si="74"/>
        <v>-2.0000000000136567E-3</v>
      </c>
      <c r="BL67" s="72">
        <f t="shared" si="75"/>
        <v>-1.9999999999981135E-3</v>
      </c>
      <c r="BM67" s="88">
        <f t="shared" si="93"/>
        <v>-6.0000000000045546E-3</v>
      </c>
      <c r="BN67" s="73">
        <f t="shared" si="76"/>
        <v>-2.0000000000663931E-3</v>
      </c>
      <c r="BO67" s="74">
        <f>SIM_BASE!AB72</f>
        <v>189472.88207519628</v>
      </c>
      <c r="BP67" s="74">
        <f>SIM_BASE!AC72</f>
        <v>111084.33626814323</v>
      </c>
      <c r="BQ67" s="74">
        <f>SIM_BASE!AD72</f>
        <v>94159.021611170858</v>
      </c>
      <c r="BR67" s="95">
        <f t="shared" si="94"/>
        <v>138061.88205016209</v>
      </c>
      <c r="BS67" s="75">
        <f>SIM_BASE!AE72</f>
        <v>10140.718009198097</v>
      </c>
    </row>
    <row r="68" spans="1:71">
      <c r="A68" s="348">
        <v>4</v>
      </c>
      <c r="B68" s="81">
        <v>2028</v>
      </c>
      <c r="C68" s="81" t="s">
        <v>3</v>
      </c>
      <c r="D68" s="74">
        <v>78.502747990181675</v>
      </c>
      <c r="E68" s="74">
        <v>107.24827143457114</v>
      </c>
      <c r="F68" s="74">
        <v>11.695119506705607</v>
      </c>
      <c r="G68" s="95">
        <v>197.44613893145842</v>
      </c>
      <c r="H68" s="75">
        <v>502.81129902611474</v>
      </c>
      <c r="I68" s="74">
        <v>98.886195873735232</v>
      </c>
      <c r="J68" s="74">
        <v>139.56279541657136</v>
      </c>
      <c r="K68" s="74">
        <v>14.587961796041164</v>
      </c>
      <c r="L68" s="95">
        <v>253.03695308634775</v>
      </c>
      <c r="M68" s="74">
        <v>18.693416545031461</v>
      </c>
      <c r="N68" s="74">
        <v>1332.2930407665849</v>
      </c>
      <c r="O68" s="98">
        <v>1350.9864573116163</v>
      </c>
      <c r="P68" s="72">
        <v>-20.382447883553567</v>
      </c>
      <c r="Q68" s="72">
        <v>-32.313523982000255</v>
      </c>
      <c r="R68" s="72">
        <v>-2.8918422893355578</v>
      </c>
      <c r="S68" s="88">
        <v>-55.587814154889379</v>
      </c>
      <c r="T68" s="73">
        <v>-186.2136852201308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-661.95947306537073</v>
      </c>
      <c r="Z68" s="72">
        <v>-1.999999999990564E-3</v>
      </c>
      <c r="AA68" s="72">
        <v>-1.9999999999692477E-3</v>
      </c>
      <c r="AB68" s="72">
        <v>-1.9999999999985576E-3</v>
      </c>
      <c r="AC68" s="88">
        <v>-5.9999999999583694E-3</v>
      </c>
      <c r="AD68" s="73">
        <v>-2.00000000018008E-3</v>
      </c>
      <c r="AE68" s="74">
        <v>135239.81761222225</v>
      </c>
      <c r="AF68" s="74">
        <v>94434.242941349061</v>
      </c>
      <c r="AG68" s="74">
        <v>89639.573608929422</v>
      </c>
      <c r="AH68" s="95">
        <v>110104.53752968619</v>
      </c>
      <c r="AI68" s="75">
        <v>10439.392578531939</v>
      </c>
      <c r="AK68" s="348">
        <v>4</v>
      </c>
      <c r="AL68" s="81">
        <v>2028</v>
      </c>
      <c r="AM68" s="81" t="s">
        <v>3</v>
      </c>
      <c r="AN68" s="74">
        <f>SIM_BASE!E79</f>
        <v>72.876727309541096</v>
      </c>
      <c r="AO68" s="74">
        <f>SIM_BASE!F79</f>
        <v>112.34426468001034</v>
      </c>
      <c r="AP68" s="74">
        <f>SIM_BASE!G79</f>
        <v>11.496835710850689</v>
      </c>
      <c r="AQ68" s="95">
        <f t="shared" si="88"/>
        <v>196.71782770040213</v>
      </c>
      <c r="AR68" s="75">
        <f>SIM_BASE!H79</f>
        <v>511.48282683976674</v>
      </c>
      <c r="AS68" s="74">
        <f>SIM_BASE!K79</f>
        <v>75.184593371703883</v>
      </c>
      <c r="AT68" s="74">
        <f>SIM_BASE!L79</f>
        <v>128.26801871370157</v>
      </c>
      <c r="AU68" s="74">
        <f>SIM_BASE!M79</f>
        <v>15.01760738819047</v>
      </c>
      <c r="AV68" s="95">
        <f t="shared" si="89"/>
        <v>218.47021947359593</v>
      </c>
      <c r="AW68" s="74">
        <f>SIM_BASE!N79</f>
        <v>21.850522389636378</v>
      </c>
      <c r="AX68" s="74">
        <f>SIM_BASE!O79</f>
        <v>1457.450563450976</v>
      </c>
      <c r="AY68" s="98">
        <f t="shared" si="90"/>
        <v>1479.3010858406124</v>
      </c>
      <c r="AZ68" s="72">
        <f>SIM_BASE!V79</f>
        <v>-2.306866062162749</v>
      </c>
      <c r="BA68" s="72">
        <f>SIM_BASE!W79</f>
        <v>-15.922754033691282</v>
      </c>
      <c r="BB68" s="72">
        <f>SIM_BASE!X79</f>
        <v>-3.5197716773397771</v>
      </c>
      <c r="BC68" s="88">
        <f t="shared" si="91"/>
        <v>-21.749391773193807</v>
      </c>
      <c r="BD68" s="73">
        <f>SIM_BASE!Y79</f>
        <v>-81.337769889229193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92"/>
        <v>3.0000000000000001E-3</v>
      </c>
      <c r="BI68" s="75">
        <f>SIM_BASE!U79</f>
        <v>-886.47848911161623</v>
      </c>
      <c r="BJ68" s="72">
        <f t="shared" si="73"/>
        <v>-2.0000000000385256E-3</v>
      </c>
      <c r="BK68" s="72">
        <f t="shared" si="74"/>
        <v>-1.9999999999426024E-3</v>
      </c>
      <c r="BL68" s="72">
        <f t="shared" si="75"/>
        <v>-2.0000000000034426E-3</v>
      </c>
      <c r="BM68" s="88">
        <f t="shared" si="93"/>
        <v>-5.9999999999845706E-3</v>
      </c>
      <c r="BN68" s="73">
        <f t="shared" si="76"/>
        <v>-2.00000000018008E-3</v>
      </c>
      <c r="BO68" s="74">
        <f>SIM_BASE!AB79</f>
        <v>198796.13511848811</v>
      </c>
      <c r="BP68" s="74">
        <f>SIM_BASE!AC79</f>
        <v>109018.22099864343</v>
      </c>
      <c r="BQ68" s="74">
        <f>SIM_BASE!AD79</f>
        <v>90907.034783963871</v>
      </c>
      <c r="BR68" s="95">
        <f t="shared" si="94"/>
        <v>138669.53594015987</v>
      </c>
      <c r="BS68" s="75">
        <f>SIM_BASE!AE79</f>
        <v>10439.03476607962</v>
      </c>
    </row>
    <row r="69" spans="1:71">
      <c r="A69" s="496">
        <v>4</v>
      </c>
      <c r="B69" s="81">
        <v>2029</v>
      </c>
      <c r="C69" s="81" t="s">
        <v>3</v>
      </c>
      <c r="D69" s="74">
        <v>80.680657202382704</v>
      </c>
      <c r="E69" s="74">
        <v>117.38182087833825</v>
      </c>
      <c r="F69" s="74">
        <v>13.666068976902949</v>
      </c>
      <c r="G69" s="95">
        <v>211.7285470576239</v>
      </c>
      <c r="H69" s="75">
        <v>541.32874269003435</v>
      </c>
      <c r="I69" s="74">
        <v>101.96600847699119</v>
      </c>
      <c r="J69" s="74">
        <v>152.71831532985476</v>
      </c>
      <c r="K69" s="74">
        <v>16.011565970232169</v>
      </c>
      <c r="L69" s="95">
        <v>270.69588977707815</v>
      </c>
      <c r="M69" s="74">
        <v>18.587369524831796</v>
      </c>
      <c r="N69" s="74">
        <v>1426.6948580228486</v>
      </c>
      <c r="O69" s="98">
        <v>1445.2822275476803</v>
      </c>
      <c r="P69" s="72">
        <v>-21.284351274608511</v>
      </c>
      <c r="Q69" s="72">
        <v>-35.33549445151656</v>
      </c>
      <c r="R69" s="72">
        <v>-2.3444969933292183</v>
      </c>
      <c r="S69" s="88">
        <v>-58.964342719454287</v>
      </c>
      <c r="T69" s="73">
        <v>-209.71746375706485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-694.23402110058134</v>
      </c>
      <c r="Z69" s="72">
        <v>-1.9999999999763532E-3</v>
      </c>
      <c r="AA69" s="72">
        <v>-1.9999999999550369E-3</v>
      </c>
      <c r="AB69" s="72">
        <v>-2.0000000000021103E-3</v>
      </c>
      <c r="AC69" s="88">
        <v>-5.9999999999335004E-3</v>
      </c>
      <c r="AD69" s="73">
        <v>-1.9999999999527063E-3</v>
      </c>
      <c r="AE69" s="74">
        <v>141369.76810736491</v>
      </c>
      <c r="AF69" s="74">
        <v>92271.302423498666</v>
      </c>
      <c r="AG69" s="74">
        <v>89045.515283200963</v>
      </c>
      <c r="AH69" s="95">
        <v>110574.95922673217</v>
      </c>
      <c r="AI69" s="75">
        <v>10748.640685654955</v>
      </c>
      <c r="AK69" s="496">
        <v>4</v>
      </c>
      <c r="AL69" s="81">
        <v>2029</v>
      </c>
      <c r="AM69" s="81" t="s">
        <v>3</v>
      </c>
      <c r="AN69" s="74">
        <f>SIM_BASE!E86</f>
        <v>75.196258085213913</v>
      </c>
      <c r="AO69" s="74">
        <f>SIM_BASE!F86</f>
        <v>123.06510488799643</v>
      </c>
      <c r="AP69" s="74">
        <f>SIM_BASE!G86</f>
        <v>13.365814524524119</v>
      </c>
      <c r="AQ69" s="95">
        <f t="shared" si="88"/>
        <v>211.62717749773446</v>
      </c>
      <c r="AR69" s="75">
        <f>SIM_BASE!H86</f>
        <v>550.39464013017869</v>
      </c>
      <c r="AS69" s="74">
        <f>SIM_BASE!K86</f>
        <v>77.114068418031735</v>
      </c>
      <c r="AT69" s="74">
        <f>SIM_BASE!L86</f>
        <v>140.21679968620444</v>
      </c>
      <c r="AU69" s="74">
        <f>SIM_BASE!M86</f>
        <v>16.575829089783891</v>
      </c>
      <c r="AV69" s="95">
        <f t="shared" si="89"/>
        <v>233.90669719402007</v>
      </c>
      <c r="AW69" s="74">
        <f>SIM_BASE!N86</f>
        <v>21.649644229778715</v>
      </c>
      <c r="AX69" s="74">
        <f>SIM_BASE!O86</f>
        <v>1563.3468870498168</v>
      </c>
      <c r="AY69" s="98">
        <f t="shared" si="90"/>
        <v>1584.9965312795955</v>
      </c>
      <c r="AZ69" s="72">
        <f>SIM_BASE!V86</f>
        <v>-1.9168103328178494</v>
      </c>
      <c r="BA69" s="72">
        <f>SIM_BASE!W86</f>
        <v>-17.150694798207997</v>
      </c>
      <c r="BB69" s="72">
        <f>SIM_BASE!X86</f>
        <v>-3.209014565259773</v>
      </c>
      <c r="BC69" s="88">
        <f t="shared" si="91"/>
        <v>-22.276519696285618</v>
      </c>
      <c r="BD69" s="73">
        <f>SIM_BASE!Y86</f>
        <v>-100.4010736807772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92"/>
        <v>3.0000000000000001E-3</v>
      </c>
      <c r="BI69" s="75">
        <f>SIM_BASE!U86</f>
        <v>-934.19881746863962</v>
      </c>
      <c r="BJ69" s="72">
        <f t="shared" si="73"/>
        <v>-1.9999999999730225E-3</v>
      </c>
      <c r="BK69" s="72">
        <f t="shared" si="74"/>
        <v>-2.000000000015433E-3</v>
      </c>
      <c r="BL69" s="72">
        <f t="shared" si="75"/>
        <v>-1.9999999999994458E-3</v>
      </c>
      <c r="BM69" s="88">
        <f t="shared" si="93"/>
        <v>-5.9999999999879013E-3</v>
      </c>
      <c r="BN69" s="73">
        <f t="shared" si="76"/>
        <v>-1.9999999999527063E-3</v>
      </c>
      <c r="BO69" s="74">
        <f>SIM_BASE!AB86</f>
        <v>209058.2539175523</v>
      </c>
      <c r="BP69" s="74">
        <f>SIM_BASE!AC86</f>
        <v>106583.15810186928</v>
      </c>
      <c r="BQ69" s="74">
        <f>SIM_BASE!AD86</f>
        <v>89714.241019538691</v>
      </c>
      <c r="BR69" s="95">
        <f t="shared" si="94"/>
        <v>139171.60193366636</v>
      </c>
      <c r="BS69" s="75">
        <f>SIM_BASE!AE86</f>
        <v>10748.281201248948</v>
      </c>
    </row>
    <row r="70" spans="1:71" ht="17" thickBot="1">
      <c r="A70" s="382">
        <v>4</v>
      </c>
      <c r="B70" s="82">
        <v>2030</v>
      </c>
      <c r="C70" s="82" t="s">
        <v>3</v>
      </c>
      <c r="D70" s="78">
        <v>61.977573140862511</v>
      </c>
      <c r="E70" s="78">
        <v>152.14926948946788</v>
      </c>
      <c r="F70" s="78">
        <v>18.60605038815979</v>
      </c>
      <c r="G70" s="96">
        <v>232.73289301849019</v>
      </c>
      <c r="H70" s="79">
        <v>1865.7615064466308</v>
      </c>
      <c r="I70" s="78">
        <v>40.988449467957224</v>
      </c>
      <c r="J70" s="78">
        <v>115.36176732653352</v>
      </c>
      <c r="K70" s="78">
        <v>14.419859150823411</v>
      </c>
      <c r="L70" s="96">
        <v>170.77007594531415</v>
      </c>
      <c r="M70" s="78">
        <v>24.615285027015915</v>
      </c>
      <c r="N70" s="78">
        <v>1634.1209585218835</v>
      </c>
      <c r="O70" s="99">
        <v>1658.7362435488994</v>
      </c>
      <c r="P70" s="76">
        <v>20.990123672905295</v>
      </c>
      <c r="Q70" s="76">
        <v>36.788502162934329</v>
      </c>
      <c r="R70" s="76">
        <v>2.3464969933292181</v>
      </c>
      <c r="S70" s="89">
        <v>60.125122829168838</v>
      </c>
      <c r="T70" s="77">
        <v>209.71946375706486</v>
      </c>
      <c r="U70" s="76">
        <v>1E-3</v>
      </c>
      <c r="V70" s="76">
        <v>1E-3</v>
      </c>
      <c r="W70" s="76">
        <v>1.8416942440071598</v>
      </c>
      <c r="X70" s="89">
        <v>1.8436942440071598</v>
      </c>
      <c r="Y70" s="79">
        <v>-2.6922008593329259</v>
      </c>
      <c r="Z70" s="72">
        <v>-2.0000000000083276E-3</v>
      </c>
      <c r="AA70" s="72">
        <v>-1.9999999999692477E-3</v>
      </c>
      <c r="AB70" s="72">
        <v>-1.9999999999988916E-3</v>
      </c>
      <c r="AC70" s="88">
        <v>-5.9999999999764669E-3</v>
      </c>
      <c r="AD70" s="73">
        <v>-2.0000000005233609E-3</v>
      </c>
      <c r="AE70" s="78">
        <v>139979.961210735</v>
      </c>
      <c r="AF70" s="78">
        <v>88767.159722614422</v>
      </c>
      <c r="AG70" s="78">
        <v>87488.425283200981</v>
      </c>
      <c r="AH70" s="96">
        <v>100951.34447443833</v>
      </c>
      <c r="AI70" s="79">
        <v>10244.976988840233</v>
      </c>
      <c r="AK70" s="382">
        <v>4</v>
      </c>
      <c r="AL70" s="82">
        <v>2030</v>
      </c>
      <c r="AM70" s="82" t="s">
        <v>3</v>
      </c>
      <c r="AN70" s="74">
        <f>SIM_BASE!E87</f>
        <v>58.998992026591715</v>
      </c>
      <c r="AO70" s="74">
        <f>SIM_BASE!F87</f>
        <v>162.60126588295273</v>
      </c>
      <c r="AP70" s="74">
        <f>SIM_BASE!G87</f>
        <v>18.1835319642739</v>
      </c>
      <c r="AQ70" s="95">
        <f t="shared" ref="AQ70" si="106">SUM(AN70:AP70)</f>
        <v>239.78378987381834</v>
      </c>
      <c r="AR70" s="75">
        <f>SIM_BASE!H87</f>
        <v>1897.5968964314397</v>
      </c>
      <c r="AS70" s="74">
        <f>SIM_BASE!K87</f>
        <v>30.145313434940547</v>
      </c>
      <c r="AT70" s="74">
        <f>SIM_BASE!L87</f>
        <v>104.67191679847291</v>
      </c>
      <c r="AU70" s="74">
        <f>SIM_BASE!M87</f>
        <v>14.938559282684285</v>
      </c>
      <c r="AV70" s="95">
        <f t="shared" ref="AV70" si="107">SUM(AS70:AU70)</f>
        <v>149.75578951609774</v>
      </c>
      <c r="AW70" s="74">
        <f>SIM_BASE!N87</f>
        <v>33.375565742176178</v>
      </c>
      <c r="AX70" s="74">
        <f>SIM_BASE!O87</f>
        <v>1842.0544037906193</v>
      </c>
      <c r="AY70" s="98">
        <f t="shared" ref="AY70" si="108">SUM(AW70:AX70)</f>
        <v>1875.4299695327954</v>
      </c>
      <c r="AZ70" s="72">
        <f>SIM_BASE!V87</f>
        <v>28.854678591651208</v>
      </c>
      <c r="BA70" s="72">
        <f>SIM_BASE!W87</f>
        <v>57.930349084479808</v>
      </c>
      <c r="BB70" s="72">
        <f>SIM_BASE!X87</f>
        <v>3.2110145652597728</v>
      </c>
      <c r="BC70" s="88">
        <f t="shared" ref="BC70" si="109">SUM(AZ70:BB70)</f>
        <v>89.996042241390796</v>
      </c>
      <c r="BD70" s="73">
        <f>SIM_BASE!Y87</f>
        <v>100.40307368077721</v>
      </c>
      <c r="BE70" s="72">
        <f>SIM_BASE!R87</f>
        <v>1E-3</v>
      </c>
      <c r="BF70" s="72">
        <f>SIM_BASE!S87</f>
        <v>1E-3</v>
      </c>
      <c r="BG70" s="72">
        <f>SIM_BASE!T87</f>
        <v>3.5958116329847301E-2</v>
      </c>
      <c r="BH70" s="88">
        <f t="shared" ref="BH70" si="110">SUM(BE70:BG70)</f>
        <v>3.7958116329847302E-2</v>
      </c>
      <c r="BI70" s="75">
        <f>SIM_BASE!U87</f>
        <v>-78.234146782132598</v>
      </c>
      <c r="BJ70" s="72">
        <f t="shared" ref="BJ70" si="111">AN70-AS70-AZ70-BE70</f>
        <v>-2.000000000040302E-3</v>
      </c>
      <c r="BK70" s="72">
        <f t="shared" ref="BK70" si="112">AO70-AT70-BA70-BF70</f>
        <v>-1.9999999999834586E-3</v>
      </c>
      <c r="BL70" s="72">
        <f t="shared" ref="BL70" si="113">AP70-AU70-BB70-BG70</f>
        <v>-2.0000000000044982E-3</v>
      </c>
      <c r="BM70" s="88">
        <f t="shared" ref="BM70" si="114">SUM(BJ70:BL70)</f>
        <v>-6.0000000000282588E-3</v>
      </c>
      <c r="BN70" s="73">
        <f t="shared" ref="BN70" si="115">AR70-AW70-AX70-BD70-BI70</f>
        <v>-2.0000000003079776E-3</v>
      </c>
      <c r="BO70" s="74">
        <f>SIM_BASE!AB87</f>
        <v>208007.55224727764</v>
      </c>
      <c r="BP70" s="74">
        <f>SIM_BASE!AC87</f>
        <v>103327.76816931416</v>
      </c>
      <c r="BQ70" s="74">
        <f>SIM_BASE!AD87</f>
        <v>88160.757079521325</v>
      </c>
      <c r="BR70" s="95">
        <f t="shared" ref="BR70" si="116">SUMPRODUCT(BO70:BQ70,AS70:AU70)/AV70</f>
        <v>122886.4885132195</v>
      </c>
      <c r="BS70" s="75">
        <f>SIM_BASE!AE87</f>
        <v>10242.196263215968</v>
      </c>
    </row>
    <row r="71" spans="1:71">
      <c r="A71" s="347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47">
        <v>5</v>
      </c>
      <c r="AL71" s="80">
        <v>2018</v>
      </c>
      <c r="AM71" s="80" t="s">
        <v>4</v>
      </c>
      <c r="AN71" s="70">
        <f>SIM_BASE!E10</f>
        <v>45.1256387194585</v>
      </c>
      <c r="AO71" s="70">
        <f>SIM_BASE!F10</f>
        <v>75.318898027449507</v>
      </c>
      <c r="AP71" s="70">
        <f>SIM_BASE!G10</f>
        <v>7.0154824615355125</v>
      </c>
      <c r="AQ71" s="94">
        <f t="shared" si="88"/>
        <v>127.46001920844351</v>
      </c>
      <c r="AR71" s="71">
        <f>SIM_BASE!H10</f>
        <v>1057.9985190946586</v>
      </c>
      <c r="AS71" s="70">
        <f>SIM_BASE!K10</f>
        <v>33.471229836622001</v>
      </c>
      <c r="AT71" s="70">
        <f>SIM_BASE!L10</f>
        <v>59.314386873693493</v>
      </c>
      <c r="AU71" s="70">
        <f>SIM_BASE!M10</f>
        <v>5.4653074309244216</v>
      </c>
      <c r="AV71" s="94">
        <f t="shared" si="89"/>
        <v>98.250924141239921</v>
      </c>
      <c r="AW71" s="70">
        <f>SIM_BASE!N10</f>
        <v>15.41149788713399</v>
      </c>
      <c r="AX71" s="70">
        <f>SIM_BASE!O10</f>
        <v>870.51106636488646</v>
      </c>
      <c r="AY71" s="97">
        <f t="shared" si="90"/>
        <v>885.92256425202049</v>
      </c>
      <c r="AZ71" s="68">
        <f>SIM_BASE!V10</f>
        <v>11.655408882836507</v>
      </c>
      <c r="BA71" s="68">
        <f>SIM_BASE!W10</f>
        <v>16.005511153756007</v>
      </c>
      <c r="BB71" s="68">
        <f>SIM_BASE!X10</f>
        <v>1.5501591192884852</v>
      </c>
      <c r="BC71" s="87">
        <f t="shared" si="91"/>
        <v>29.211079155880999</v>
      </c>
      <c r="BD71" s="69">
        <f>SIM_BASE!Y10</f>
        <v>172.07695484263803</v>
      </c>
      <c r="BE71" s="68">
        <f>SIM_BASE!R10</f>
        <v>1E-3</v>
      </c>
      <c r="BF71" s="68">
        <f>SIM_BASE!S10</f>
        <v>1E-3</v>
      </c>
      <c r="BG71" s="68">
        <f>SIM_BASE!T10</f>
        <v>2.0159113226056735E-3</v>
      </c>
      <c r="BH71" s="87">
        <f t="shared" si="92"/>
        <v>4.0159113226056736E-3</v>
      </c>
      <c r="BI71" s="71">
        <f>SIM_BASE!U10</f>
        <v>1E-3</v>
      </c>
      <c r="BJ71" s="68">
        <f t="shared" si="73"/>
        <v>-2.0000000000083276E-3</v>
      </c>
      <c r="BK71" s="68">
        <f t="shared" si="74"/>
        <v>-1.9999999999941167E-3</v>
      </c>
      <c r="BL71" s="68">
        <f t="shared" si="75"/>
        <v>-1.999999999999974E-3</v>
      </c>
      <c r="BM71" s="87">
        <f t="shared" si="93"/>
        <v>-6.0000000000024183E-3</v>
      </c>
      <c r="BN71" s="69">
        <f t="shared" si="76"/>
        <v>-1.9999999998058229E-3</v>
      </c>
      <c r="BO71" s="70">
        <f>SIM_BASE!AB10</f>
        <v>80982.491821146352</v>
      </c>
      <c r="BP71" s="70">
        <f>SIM_BASE!AC10</f>
        <v>76980.306961163587</v>
      </c>
      <c r="BQ71" s="70">
        <f>SIM_BASE!AD10</f>
        <v>82303.256365208072</v>
      </c>
      <c r="BR71" s="94">
        <f t="shared" si="94"/>
        <v>78639.829308201253</v>
      </c>
      <c r="BS71" s="71">
        <f>SIM_BASE!AE10</f>
        <v>7211.1880737846532</v>
      </c>
    </row>
    <row r="72" spans="1:71">
      <c r="A72" s="348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48">
        <v>5</v>
      </c>
      <c r="AL72" s="81">
        <v>2019</v>
      </c>
      <c r="AM72" s="81" t="s">
        <v>4</v>
      </c>
      <c r="AN72" s="74">
        <f>SIM_BASE!E17</f>
        <v>41.629981373540417</v>
      </c>
      <c r="AO72" s="74">
        <f>SIM_BASE!F17</f>
        <v>75.241909122648011</v>
      </c>
      <c r="AP72" s="74">
        <f>SIM_BASE!G17</f>
        <v>7.6679815767658868</v>
      </c>
      <c r="AQ72" s="95">
        <f t="shared" si="88"/>
        <v>124.53987207295431</v>
      </c>
      <c r="AR72" s="75">
        <f>SIM_BASE!H17</f>
        <v>1092.5759847959112</v>
      </c>
      <c r="AS72" s="74">
        <f>SIM_BASE!K17</f>
        <v>21.812477440391753</v>
      </c>
      <c r="AT72" s="74">
        <f>SIM_BASE!L17</f>
        <v>50.557987276052195</v>
      </c>
      <c r="AU72" s="74">
        <f>SIM_BASE!M17</f>
        <v>6.0462216402043119</v>
      </c>
      <c r="AV72" s="95">
        <f t="shared" si="89"/>
        <v>78.416686356648256</v>
      </c>
      <c r="AW72" s="74">
        <f>SIM_BASE!N17</f>
        <v>20.403644237541432</v>
      </c>
      <c r="AX72" s="74">
        <f>SIM_BASE!O17</f>
        <v>916.56666101572318</v>
      </c>
      <c r="AY72" s="98">
        <f t="shared" si="90"/>
        <v>936.97030525326466</v>
      </c>
      <c r="AZ72" s="72">
        <f>SIM_BASE!V17</f>
        <v>19.818503933148662</v>
      </c>
      <c r="BA72" s="72">
        <f>SIM_BASE!W17</f>
        <v>24.68492184659581</v>
      </c>
      <c r="BB72" s="72">
        <f>SIM_BASE!X17</f>
        <v>1.6227599365615739</v>
      </c>
      <c r="BC72" s="88">
        <f t="shared" si="91"/>
        <v>46.126185716306047</v>
      </c>
      <c r="BD72" s="73">
        <f>SIM_BASE!Y17</f>
        <v>155.60667954264639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92"/>
        <v>3.0000000000000001E-3</v>
      </c>
      <c r="BI72" s="75">
        <f>SIM_BASE!U17</f>
        <v>1E-3</v>
      </c>
      <c r="BJ72" s="72">
        <f t="shared" si="73"/>
        <v>-1.9999999999976694E-3</v>
      </c>
      <c r="BK72" s="72">
        <f t="shared" si="74"/>
        <v>-1.9999999999941167E-3</v>
      </c>
      <c r="BL72" s="72">
        <f t="shared" si="75"/>
        <v>-1.9999999999990017E-3</v>
      </c>
      <c r="BM72" s="88">
        <f t="shared" si="93"/>
        <v>-5.9999999999907879E-3</v>
      </c>
      <c r="BN72" s="73">
        <f t="shared" si="76"/>
        <v>-1.9999999997774012E-3</v>
      </c>
      <c r="BO72" s="74">
        <f>SIM_BASE!AB17</f>
        <v>113978.35848069626</v>
      </c>
      <c r="BP72" s="74">
        <f>SIM_BASE!AC17</f>
        <v>80563.287497993719</v>
      </c>
      <c r="BQ72" s="74">
        <f>SIM_BASE!AD17</f>
        <v>92984.107830540699</v>
      </c>
      <c r="BR72" s="95">
        <f t="shared" si="94"/>
        <v>90815.754823716954</v>
      </c>
      <c r="BS72" s="75">
        <f>SIM_BASE!AE17</f>
        <v>7512.1464678240482</v>
      </c>
    </row>
    <row r="73" spans="1:71">
      <c r="A73" s="348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48">
        <v>5</v>
      </c>
      <c r="AL73" s="81">
        <v>2020</v>
      </c>
      <c r="AM73" s="81" t="s">
        <v>4</v>
      </c>
      <c r="AN73" s="74">
        <f>SIM_BASE!E24</f>
        <v>44.923461692459242</v>
      </c>
      <c r="AO73" s="74">
        <f>SIM_BASE!F24</f>
        <v>87.229132485306764</v>
      </c>
      <c r="AP73" s="74">
        <f>SIM_BASE!G24</f>
        <v>7.7279261310494078</v>
      </c>
      <c r="AQ73" s="95">
        <f t="shared" si="88"/>
        <v>139.88052030881539</v>
      </c>
      <c r="AR73" s="75">
        <f>SIM_BASE!H24</f>
        <v>1139.4199061005652</v>
      </c>
      <c r="AS73" s="74">
        <f>SIM_BASE!K24</f>
        <v>26.161685293422082</v>
      </c>
      <c r="AT73" s="74">
        <f>SIM_BASE!L24</f>
        <v>57.628032536361886</v>
      </c>
      <c r="AU73" s="74">
        <f>SIM_BASE!M24</f>
        <v>6.1490042514687016</v>
      </c>
      <c r="AV73" s="95">
        <f t="shared" si="89"/>
        <v>89.938722081252664</v>
      </c>
      <c r="AW73" s="74">
        <f>SIM_BASE!N24</f>
        <v>24.703602285316819</v>
      </c>
      <c r="AX73" s="74">
        <f>SIM_BASE!O24</f>
        <v>1078.4170500612668</v>
      </c>
      <c r="AY73" s="98">
        <f t="shared" si="90"/>
        <v>1103.1206523465835</v>
      </c>
      <c r="AZ73" s="72">
        <f>SIM_BASE!V24</f>
        <v>18.762776399037168</v>
      </c>
      <c r="BA73" s="72">
        <f>SIM_BASE!W24</f>
        <v>29.602099948944858</v>
      </c>
      <c r="BB73" s="72">
        <f>SIM_BASE!X24</f>
        <v>1.5799218795807055</v>
      </c>
      <c r="BC73" s="88">
        <f t="shared" si="91"/>
        <v>49.944798227562728</v>
      </c>
      <c r="BD73" s="73">
        <f>SIM_BASE!Y24</f>
        <v>36.300253753981757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92"/>
        <v>3.0000000000000001E-3</v>
      </c>
      <c r="BI73" s="75">
        <f>SIM_BASE!U24</f>
        <v>1E-3</v>
      </c>
      <c r="BJ73" s="72">
        <f t="shared" si="73"/>
        <v>-2.0000000000083276E-3</v>
      </c>
      <c r="BK73" s="72">
        <f t="shared" si="74"/>
        <v>-1.9999999999799059E-3</v>
      </c>
      <c r="BL73" s="72">
        <f t="shared" si="75"/>
        <v>-1.9999999999992238E-3</v>
      </c>
      <c r="BM73" s="88">
        <f t="shared" si="93"/>
        <v>-5.9999999999874572E-3</v>
      </c>
      <c r="BN73" s="73">
        <f t="shared" si="76"/>
        <v>-2.0000000000545129E-3</v>
      </c>
      <c r="BO73" s="74">
        <f>SIM_BASE!AB24</f>
        <v>131225.34717077491</v>
      </c>
      <c r="BP73" s="74">
        <f>SIM_BASE!AC24</f>
        <v>98664.075475588965</v>
      </c>
      <c r="BQ73" s="74">
        <f>SIM_BASE!AD24</f>
        <v>92930.407172830048</v>
      </c>
      <c r="BR73" s="95">
        <f t="shared" si="94"/>
        <v>107743.6062180333</v>
      </c>
      <c r="BS73" s="75">
        <f>SIM_BASE!AE24</f>
        <v>7730.5474560390985</v>
      </c>
    </row>
    <row r="74" spans="1:71">
      <c r="A74" s="348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48">
        <v>5</v>
      </c>
      <c r="AL74" s="81">
        <v>2021</v>
      </c>
      <c r="AM74" s="81" t="s">
        <v>4</v>
      </c>
      <c r="AN74" s="74">
        <f>SIM_BASE!E31</f>
        <v>46.282291996328453</v>
      </c>
      <c r="AO74" s="74">
        <f>SIM_BASE!F31</f>
        <v>91.394454807956222</v>
      </c>
      <c r="AP74" s="74">
        <f>SIM_BASE!G31</f>
        <v>8.2043540768906738</v>
      </c>
      <c r="AQ74" s="95">
        <f t="shared" si="88"/>
        <v>145.88110088117534</v>
      </c>
      <c r="AR74" s="75">
        <f>SIM_BASE!H31</f>
        <v>1189.6584210634128</v>
      </c>
      <c r="AS74" s="74">
        <f>SIM_BASE!K31</f>
        <v>26.617263636247337</v>
      </c>
      <c r="AT74" s="74">
        <f>SIM_BASE!L31</f>
        <v>60.276143577276301</v>
      </c>
      <c r="AU74" s="74">
        <f>SIM_BASE!M31</f>
        <v>6.5741213551900923</v>
      </c>
      <c r="AV74" s="95">
        <f t="shared" si="89"/>
        <v>93.467528568713718</v>
      </c>
      <c r="AW74" s="74">
        <f>SIM_BASE!N31</f>
        <v>26.366093256420331</v>
      </c>
      <c r="AX74" s="74">
        <f>SIM_BASE!O31</f>
        <v>1133.8317483910187</v>
      </c>
      <c r="AY74" s="98">
        <f t="shared" si="90"/>
        <v>1160.197841647439</v>
      </c>
      <c r="AZ74" s="72">
        <f>SIM_BASE!V31</f>
        <v>19.666028360081118</v>
      </c>
      <c r="BA74" s="72">
        <f>SIM_BASE!W31</f>
        <v>31.119311230679937</v>
      </c>
      <c r="BB74" s="72">
        <f>SIM_BASE!X31</f>
        <v>1.6312327217005809</v>
      </c>
      <c r="BC74" s="88">
        <f t="shared" si="91"/>
        <v>52.416572312461639</v>
      </c>
      <c r="BD74" s="73">
        <f>SIM_BASE!Y31</f>
        <v>29.461579415973617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92"/>
        <v>3.0000000000000001E-3</v>
      </c>
      <c r="BI74" s="75">
        <f>SIM_BASE!U31</f>
        <v>1E-3</v>
      </c>
      <c r="BJ74" s="72">
        <f t="shared" si="73"/>
        <v>-2.0000000000012222E-3</v>
      </c>
      <c r="BK74" s="72">
        <f t="shared" si="74"/>
        <v>-2.000000000015433E-3</v>
      </c>
      <c r="BL74" s="72">
        <f t="shared" si="75"/>
        <v>-1.9999999999994458E-3</v>
      </c>
      <c r="BM74" s="88">
        <f t="shared" si="93"/>
        <v>-6.000000000016101E-3</v>
      </c>
      <c r="BN74" s="73">
        <f t="shared" si="76"/>
        <v>-1.999999999791612E-3</v>
      </c>
      <c r="BO74" s="74">
        <f>SIM_BASE!AB31</f>
        <v>138642.36450105222</v>
      </c>
      <c r="BP74" s="74">
        <f>SIM_BASE!AC31</f>
        <v>102053.82021048634</v>
      </c>
      <c r="BQ74" s="74">
        <f>SIM_BASE!AD31</f>
        <v>95565.127198396789</v>
      </c>
      <c r="BR74" s="95">
        <f t="shared" si="94"/>
        <v>112016.95380790303</v>
      </c>
      <c r="BS74" s="75">
        <f>SIM_BASE!AE31</f>
        <v>7997.9935872716978</v>
      </c>
    </row>
    <row r="75" spans="1:71">
      <c r="A75" s="348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48">
        <v>5</v>
      </c>
      <c r="AL75" s="81">
        <v>2022</v>
      </c>
      <c r="AM75" s="81" t="s">
        <v>4</v>
      </c>
      <c r="AN75" s="74">
        <f>SIM_BASE!E38</f>
        <v>47.685031514159107</v>
      </c>
      <c r="AO75" s="74">
        <f>SIM_BASE!F38</f>
        <v>96.352678937910298</v>
      </c>
      <c r="AP75" s="74">
        <f>SIM_BASE!G38</f>
        <v>8.7817903000155404</v>
      </c>
      <c r="AQ75" s="95">
        <f t="shared" si="88"/>
        <v>152.81950075208493</v>
      </c>
      <c r="AR75" s="75">
        <f>SIM_BASE!H38</f>
        <v>1244.6018486400274</v>
      </c>
      <c r="AS75" s="74">
        <f>SIM_BASE!K38</f>
        <v>27.07315609946918</v>
      </c>
      <c r="AT75" s="74">
        <f>SIM_BASE!L38</f>
        <v>63.347109417180278</v>
      </c>
      <c r="AU75" s="74">
        <f>SIM_BASE!M38</f>
        <v>7.0922616867340942</v>
      </c>
      <c r="AV75" s="95">
        <f t="shared" si="89"/>
        <v>97.512527203383556</v>
      </c>
      <c r="AW75" s="74">
        <f>SIM_BASE!N38</f>
        <v>27.927936542837983</v>
      </c>
      <c r="AX75" s="74">
        <f>SIM_BASE!O38</f>
        <v>1195.8561853473545</v>
      </c>
      <c r="AY75" s="98">
        <f t="shared" si="90"/>
        <v>1223.7841218901926</v>
      </c>
      <c r="AZ75" s="72">
        <f>SIM_BASE!V38</f>
        <v>20.612875414689931</v>
      </c>
      <c r="BA75" s="72">
        <f>SIM_BASE!W38</f>
        <v>33.006569520730103</v>
      </c>
      <c r="BB75" s="72">
        <f>SIM_BASE!X38</f>
        <v>1.6905286132814483</v>
      </c>
      <c r="BC75" s="88">
        <f t="shared" si="91"/>
        <v>55.309973548701485</v>
      </c>
      <c r="BD75" s="73">
        <f>SIM_BASE!Y38</f>
        <v>27.867724945978736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92"/>
        <v>3.0000000000000001E-3</v>
      </c>
      <c r="BI75" s="75">
        <f>SIM_BASE!U38</f>
        <v>-7.0479981961440084</v>
      </c>
      <c r="BJ75" s="72">
        <f t="shared" ref="BJ75:BJ108" si="117">AN75-AS75-AZ75-BE75</f>
        <v>-2.0000000000047749E-3</v>
      </c>
      <c r="BK75" s="72">
        <f t="shared" ref="BK75:BK108" si="118">AO75-AT75-BA75-BF75</f>
        <v>-2.0000000000829346E-3</v>
      </c>
      <c r="BL75" s="72">
        <f t="shared" ref="BL75:BL108" si="119">AP75-AU75-BB75-BG75</f>
        <v>-2.0000000000021103E-3</v>
      </c>
      <c r="BM75" s="88">
        <f t="shared" si="93"/>
        <v>-6.0000000000898198E-3</v>
      </c>
      <c r="BN75" s="73">
        <f t="shared" ref="BN75:BN108" si="120">AR75-AW75-AX75-BD75-BI75</f>
        <v>-2.0000000000086615E-3</v>
      </c>
      <c r="BO75" s="74">
        <f>SIM_BASE!AB38</f>
        <v>146328.07495103151</v>
      </c>
      <c r="BP75" s="74">
        <f>SIM_BASE!AC38</f>
        <v>104885.18452448465</v>
      </c>
      <c r="BQ75" s="74">
        <f>SIM_BASE!AD38</f>
        <v>97356.921881847695</v>
      </c>
      <c r="BR75" s="95">
        <f t="shared" si="94"/>
        <v>115843.75019466016</v>
      </c>
      <c r="BS75" s="75">
        <f>SIM_BASE!AE38</f>
        <v>8262.3462290024563</v>
      </c>
    </row>
    <row r="76" spans="1:71">
      <c r="A76" s="348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48">
        <v>5</v>
      </c>
      <c r="AL76" s="81">
        <v>2023</v>
      </c>
      <c r="AM76" s="81" t="s">
        <v>4</v>
      </c>
      <c r="AN76" s="74">
        <f>SIM_BASE!E45</f>
        <v>49.10299911629766</v>
      </c>
      <c r="AO76" s="74">
        <f>SIM_BASE!F45</f>
        <v>102.15933750946336</v>
      </c>
      <c r="AP76" s="74">
        <f>SIM_BASE!G45</f>
        <v>9.4753166103113688</v>
      </c>
      <c r="AQ76" s="95">
        <f t="shared" si="88"/>
        <v>160.73765323607239</v>
      </c>
      <c r="AR76" s="75">
        <f>SIM_BASE!H45</f>
        <v>1305.7514052291735</v>
      </c>
      <c r="AS76" s="74">
        <f>SIM_BASE!K45</f>
        <v>27.551142640362315</v>
      </c>
      <c r="AT76" s="74">
        <f>SIM_BASE!L45</f>
        <v>66.926240505966533</v>
      </c>
      <c r="AU76" s="74">
        <f>SIM_BASE!M45</f>
        <v>7.7186793453436495</v>
      </c>
      <c r="AV76" s="95">
        <f t="shared" si="89"/>
        <v>102.19606249167249</v>
      </c>
      <c r="AW76" s="74">
        <f>SIM_BASE!N45</f>
        <v>29.336058028327219</v>
      </c>
      <c r="AX76" s="74">
        <f>SIM_BASE!O45</f>
        <v>1263.541093408925</v>
      </c>
      <c r="AY76" s="98">
        <f t="shared" si="90"/>
        <v>1292.8771514372522</v>
      </c>
      <c r="AZ76" s="72">
        <f>SIM_BASE!V45</f>
        <v>21.552856475935346</v>
      </c>
      <c r="BA76" s="72">
        <f>SIM_BASE!W45</f>
        <v>35.234097003496565</v>
      </c>
      <c r="BB76" s="72">
        <f>SIM_BASE!X45</f>
        <v>1.7576372649677205</v>
      </c>
      <c r="BC76" s="88">
        <f t="shared" si="91"/>
        <v>58.544590744399635</v>
      </c>
      <c r="BD76" s="73">
        <f>SIM_BASE!Y45</f>
        <v>27.989831792946831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92"/>
        <v>3.0000000000000001E-3</v>
      </c>
      <c r="BI76" s="75">
        <f>SIM_BASE!U45</f>
        <v>-15.113578001025555</v>
      </c>
      <c r="BJ76" s="72">
        <f t="shared" si="117"/>
        <v>-2.0000000000012222E-3</v>
      </c>
      <c r="BK76" s="72">
        <f t="shared" si="118"/>
        <v>-1.9999999997418741E-3</v>
      </c>
      <c r="BL76" s="72">
        <f t="shared" si="119"/>
        <v>-2.0000000000012222E-3</v>
      </c>
      <c r="BM76" s="88">
        <f t="shared" si="93"/>
        <v>-5.9999999997443184E-3</v>
      </c>
      <c r="BN76" s="73">
        <f t="shared" si="120"/>
        <v>-1.999999999956259E-3</v>
      </c>
      <c r="BO76" s="74">
        <f>SIM_BASE!AB45</f>
        <v>154106.21532700612</v>
      </c>
      <c r="BP76" s="74">
        <f>SIM_BASE!AC45</f>
        <v>107013.80035858498</v>
      </c>
      <c r="BQ76" s="74">
        <f>SIM_BASE!AD45</f>
        <v>98240.350280875107</v>
      </c>
      <c r="BR76" s="95">
        <f t="shared" si="94"/>
        <v>119046.85098880948</v>
      </c>
      <c r="BS76" s="75">
        <f>SIM_BASE!AE45</f>
        <v>8520.9666164537448</v>
      </c>
    </row>
    <row r="77" spans="1:71">
      <c r="A77" s="348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48">
        <v>5</v>
      </c>
      <c r="AL77" s="81">
        <v>2024</v>
      </c>
      <c r="AM77" s="81" t="s">
        <v>4</v>
      </c>
      <c r="AN77" s="74">
        <f>SIM_BASE!E52</f>
        <v>50.624612214626218</v>
      </c>
      <c r="AO77" s="74">
        <f>SIM_BASE!F52</f>
        <v>108.90045956847327</v>
      </c>
      <c r="AP77" s="74">
        <f>SIM_BASE!G52</f>
        <v>10.305516702487838</v>
      </c>
      <c r="AQ77" s="95">
        <f t="shared" si="88"/>
        <v>169.83058848558733</v>
      </c>
      <c r="AR77" s="75">
        <f>SIM_BASE!H52</f>
        <v>1375.6177862944651</v>
      </c>
      <c r="AS77" s="74">
        <f>SIM_BASE!K52</f>
        <v>27.984850436201935</v>
      </c>
      <c r="AT77" s="74">
        <f>SIM_BASE!L52</f>
        <v>71.104303625524807</v>
      </c>
      <c r="AU77" s="74">
        <f>SIM_BASE!M52</f>
        <v>8.4733069212719752</v>
      </c>
      <c r="AV77" s="95">
        <f t="shared" si="89"/>
        <v>107.56246098299872</v>
      </c>
      <c r="AW77" s="74">
        <f>SIM_BASE!N52</f>
        <v>30.560378953969931</v>
      </c>
      <c r="AX77" s="74">
        <f>SIM_BASE!O52</f>
        <v>1337.4028465529755</v>
      </c>
      <c r="AY77" s="98">
        <f t="shared" si="90"/>
        <v>1367.9632255069455</v>
      </c>
      <c r="AZ77" s="72">
        <f>SIM_BASE!V52</f>
        <v>22.640761778424295</v>
      </c>
      <c r="BA77" s="72">
        <f>SIM_BASE!W52</f>
        <v>37.797155942948805</v>
      </c>
      <c r="BB77" s="72">
        <f>SIM_BASE!X52</f>
        <v>1.8332097812158634</v>
      </c>
      <c r="BC77" s="88">
        <f t="shared" si="91"/>
        <v>62.271127502588961</v>
      </c>
      <c r="BD77" s="73">
        <f>SIM_BASE!Y52</f>
        <v>30.823044982849471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92"/>
        <v>3.0000000000000001E-3</v>
      </c>
      <c r="BI77" s="75">
        <f>SIM_BASE!U52</f>
        <v>-23.16648419532957</v>
      </c>
      <c r="BJ77" s="72">
        <f t="shared" si="117"/>
        <v>-2.0000000000118803E-3</v>
      </c>
      <c r="BK77" s="72">
        <f t="shared" si="118"/>
        <v>-2.0000000003458354E-3</v>
      </c>
      <c r="BL77" s="72">
        <f t="shared" si="119"/>
        <v>-2.0000000000010001E-3</v>
      </c>
      <c r="BM77" s="88">
        <f t="shared" si="93"/>
        <v>-6.0000000003587158E-3</v>
      </c>
      <c r="BN77" s="73">
        <f t="shared" si="120"/>
        <v>-2.0000000003150831E-3</v>
      </c>
      <c r="BO77" s="74">
        <f>SIM_BASE!AB52</f>
        <v>162415.83107999703</v>
      </c>
      <c r="BP77" s="74">
        <f>SIM_BASE!AC52</f>
        <v>108365.78496279422</v>
      </c>
      <c r="BQ77" s="74">
        <f>SIM_BASE!AD52</f>
        <v>98185.734576932125</v>
      </c>
      <c r="BR77" s="95">
        <f t="shared" si="94"/>
        <v>121626.20827620054</v>
      </c>
      <c r="BS77" s="75">
        <f>SIM_BASE!AE52</f>
        <v>8789.5272478645293</v>
      </c>
    </row>
    <row r="78" spans="1:71">
      <c r="A78" s="348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48">
        <v>5</v>
      </c>
      <c r="AL78" s="81">
        <v>2025</v>
      </c>
      <c r="AM78" s="81" t="s">
        <v>4</v>
      </c>
      <c r="AN78" s="74">
        <f>SIM_BASE!E59</f>
        <v>52.21321908756628</v>
      </c>
      <c r="AO78" s="74">
        <f>SIM_BASE!F59</f>
        <v>116.68605678544233</v>
      </c>
      <c r="AP78" s="74">
        <f>SIM_BASE!G59</f>
        <v>11.297717780346535</v>
      </c>
      <c r="AQ78" s="95">
        <f t="shared" si="88"/>
        <v>180.19699365335515</v>
      </c>
      <c r="AR78" s="75">
        <f>SIM_BASE!H59</f>
        <v>1455.2643544263674</v>
      </c>
      <c r="AS78" s="74">
        <f>SIM_BASE!K59</f>
        <v>28.403881917211599</v>
      </c>
      <c r="AT78" s="74">
        <f>SIM_BASE!L59</f>
        <v>75.989564138732419</v>
      </c>
      <c r="AU78" s="74">
        <f>SIM_BASE!M59</f>
        <v>9.3836303642637198</v>
      </c>
      <c r="AV78" s="95">
        <f t="shared" si="89"/>
        <v>113.77707642020775</v>
      </c>
      <c r="AW78" s="74">
        <f>SIM_BASE!N59</f>
        <v>31.548080439296506</v>
      </c>
      <c r="AX78" s="74">
        <f>SIM_BASE!O59</f>
        <v>1417.7217566147247</v>
      </c>
      <c r="AY78" s="98">
        <f t="shared" si="90"/>
        <v>1449.2698370540211</v>
      </c>
      <c r="AZ78" s="72">
        <f>SIM_BASE!V59</f>
        <v>23.810337170354675</v>
      </c>
      <c r="BA78" s="72">
        <f>SIM_BASE!W59</f>
        <v>40.697492646709954</v>
      </c>
      <c r="BB78" s="72">
        <f>SIM_BASE!X59</f>
        <v>1.9150874160828126</v>
      </c>
      <c r="BC78" s="88">
        <f t="shared" si="91"/>
        <v>66.422917233147444</v>
      </c>
      <c r="BD78" s="73">
        <f>SIM_BASE!Y59</f>
        <v>37.285271713633875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92"/>
        <v>3.0000000000000001E-3</v>
      </c>
      <c r="BI78" s="75">
        <f>SIM_BASE!U59</f>
        <v>-31.28875434128804</v>
      </c>
      <c r="BJ78" s="72">
        <f t="shared" si="117"/>
        <v>-1.9999999999941167E-3</v>
      </c>
      <c r="BK78" s="72">
        <f t="shared" si="118"/>
        <v>-2.000000000040302E-3</v>
      </c>
      <c r="BL78" s="72">
        <f t="shared" si="119"/>
        <v>-1.9999999999978915E-3</v>
      </c>
      <c r="BM78" s="88">
        <f t="shared" si="93"/>
        <v>-6.0000000000323102E-3</v>
      </c>
      <c r="BN78" s="73">
        <f t="shared" si="120"/>
        <v>-1.9999999995263806E-3</v>
      </c>
      <c r="BO78" s="74">
        <f>SIM_BASE!AB59</f>
        <v>171069.84742623506</v>
      </c>
      <c r="BP78" s="74">
        <f>SIM_BASE!AC59</f>
        <v>108875.50960747761</v>
      </c>
      <c r="BQ78" s="74">
        <f>SIM_BASE!AD59</f>
        <v>97211.082473128292</v>
      </c>
      <c r="BR78" s="95">
        <f t="shared" si="94"/>
        <v>123440.00719188921</v>
      </c>
      <c r="BS78" s="75">
        <f>SIM_BASE!AE59</f>
        <v>9068.4359964008254</v>
      </c>
    </row>
    <row r="79" spans="1:71">
      <c r="A79" s="348">
        <v>5</v>
      </c>
      <c r="B79" s="81">
        <v>2026</v>
      </c>
      <c r="C79" s="81" t="s">
        <v>4</v>
      </c>
      <c r="D79" s="74">
        <v>57.049366011823018</v>
      </c>
      <c r="E79" s="74">
        <v>117.699242698528</v>
      </c>
      <c r="F79" s="74">
        <v>12.41502553536127</v>
      </c>
      <c r="G79" s="95">
        <v>187.1636342457123</v>
      </c>
      <c r="H79" s="75">
        <v>1511.9696885745623</v>
      </c>
      <c r="I79" s="74">
        <v>38.687489526178297</v>
      </c>
      <c r="J79" s="74">
        <v>89.957363769542837</v>
      </c>
      <c r="K79" s="74">
        <v>10.440931604272748</v>
      </c>
      <c r="L79" s="95">
        <v>139.08578489999388</v>
      </c>
      <c r="M79" s="74">
        <v>23.3299455815696</v>
      </c>
      <c r="N79" s="74">
        <v>1332.4293141489818</v>
      </c>
      <c r="O79" s="98">
        <v>1355.7592597305513</v>
      </c>
      <c r="P79" s="72">
        <v>18.362876485644708</v>
      </c>
      <c r="Q79" s="72">
        <v>27.742878928985167</v>
      </c>
      <c r="R79" s="72">
        <v>1.9750939310885267</v>
      </c>
      <c r="S79" s="88">
        <v>48.080849345718406</v>
      </c>
      <c r="T79" s="73">
        <v>156.21142884401067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-1.9999999999870113E-3</v>
      </c>
      <c r="AA79" s="72">
        <v>-2.0000000000083276E-3</v>
      </c>
      <c r="AB79" s="72">
        <v>-2.0000000000049969E-3</v>
      </c>
      <c r="AC79" s="88">
        <v>-6.0000000000003358E-3</v>
      </c>
      <c r="AD79" s="73">
        <v>-1.9999999997205578E-3</v>
      </c>
      <c r="AE79" s="74">
        <v>122453.89954549399</v>
      </c>
      <c r="AF79" s="74">
        <v>93000.921649031225</v>
      </c>
      <c r="AG79" s="74">
        <v>91124.054577433752</v>
      </c>
      <c r="AH79" s="95">
        <v>101052.5391019903</v>
      </c>
      <c r="AI79" s="75">
        <v>9334.0879947129488</v>
      </c>
      <c r="AK79" s="348">
        <v>5</v>
      </c>
      <c r="AL79" s="81">
        <v>2026</v>
      </c>
      <c r="AM79" s="81" t="s">
        <v>4</v>
      </c>
      <c r="AN79" s="74">
        <f>SIM_BASE!E66</f>
        <v>53.844626832055766</v>
      </c>
      <c r="AO79" s="74">
        <f>SIM_BASE!F66</f>
        <v>125.7880770226939</v>
      </c>
      <c r="AP79" s="74">
        <f>SIM_BASE!G66</f>
        <v>12.48310122432548</v>
      </c>
      <c r="AQ79" s="95">
        <f t="shared" si="88"/>
        <v>192.11580507907513</v>
      </c>
      <c r="AR79" s="75">
        <f>SIM_BASE!H66</f>
        <v>1544.6756284053617</v>
      </c>
      <c r="AS79" s="74">
        <f>SIM_BASE!K66</f>
        <v>28.827771677905627</v>
      </c>
      <c r="AT79" s="74">
        <f>SIM_BASE!L66</f>
        <v>81.599915009313833</v>
      </c>
      <c r="AU79" s="74">
        <f>SIM_BASE!M66</f>
        <v>10.485294385135973</v>
      </c>
      <c r="AV79" s="95">
        <f t="shared" si="89"/>
        <v>120.91298107235544</v>
      </c>
      <c r="AW79" s="74">
        <f>SIM_BASE!N66</f>
        <v>32.287609019949095</v>
      </c>
      <c r="AX79" s="74">
        <f>SIM_BASE!O66</f>
        <v>1506.6008227724701</v>
      </c>
      <c r="AY79" s="98">
        <f t="shared" si="90"/>
        <v>1538.8884317924192</v>
      </c>
      <c r="AZ79" s="72">
        <f>SIM_BASE!V66</f>
        <v>25.017855154150116</v>
      </c>
      <c r="BA79" s="72">
        <f>SIM_BASE!W66</f>
        <v>44.189162013380155</v>
      </c>
      <c r="BB79" s="72">
        <f>SIM_BASE!X66</f>
        <v>1.9988068391895062</v>
      </c>
      <c r="BC79" s="88">
        <f t="shared" si="91"/>
        <v>71.20582400671978</v>
      </c>
      <c r="BD79" s="73">
        <f>SIM_BASE!Y66</f>
        <v>46.872920556149616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92"/>
        <v>3.0000000000000001E-3</v>
      </c>
      <c r="BI79" s="75">
        <f>SIM_BASE!U66</f>
        <v>-41.083723943206849</v>
      </c>
      <c r="BJ79" s="72">
        <f t="shared" si="117"/>
        <v>-1.9999999999763532E-3</v>
      </c>
      <c r="BK79" s="72">
        <f t="shared" si="118"/>
        <v>-2.00000000009004E-3</v>
      </c>
      <c r="BL79" s="72">
        <f t="shared" si="119"/>
        <v>-1.9999999999983356E-3</v>
      </c>
      <c r="BM79" s="88">
        <f t="shared" si="93"/>
        <v>-6.0000000000647287E-3</v>
      </c>
      <c r="BN79" s="73">
        <f t="shared" si="120"/>
        <v>-2.0000000001871854E-3</v>
      </c>
      <c r="BO79" s="74">
        <f>SIM_BASE!AB66</f>
        <v>179912.61335786292</v>
      </c>
      <c r="BP79" s="74">
        <f>SIM_BASE!AC66</f>
        <v>108670.96233916999</v>
      </c>
      <c r="BQ79" s="74">
        <f>SIM_BASE!AD66</f>
        <v>95332.880593727008</v>
      </c>
      <c r="BR79" s="95">
        <f t="shared" si="94"/>
        <v>124499.57163253154</v>
      </c>
      <c r="BS79" s="75">
        <f>SIM_BASE!AE66</f>
        <v>9346.1767465240919</v>
      </c>
    </row>
    <row r="80" spans="1:71">
      <c r="A80" s="348">
        <v>5</v>
      </c>
      <c r="B80" s="81">
        <v>2027</v>
      </c>
      <c r="C80" s="81" t="s">
        <v>4</v>
      </c>
      <c r="D80" s="74">
        <v>58.643360516089963</v>
      </c>
      <c r="E80" s="74">
        <v>127.57942633571355</v>
      </c>
      <c r="F80" s="74">
        <v>13.879472390905521</v>
      </c>
      <c r="G80" s="95">
        <v>200.10225924270904</v>
      </c>
      <c r="H80" s="75">
        <v>1611.7548130976625</v>
      </c>
      <c r="I80" s="74">
        <v>39.438185121680647</v>
      </c>
      <c r="J80" s="74">
        <v>97.105097747752282</v>
      </c>
      <c r="K80" s="74">
        <v>11.719591567012454</v>
      </c>
      <c r="L80" s="95">
        <v>148.26287443644537</v>
      </c>
      <c r="M80" s="74">
        <v>23.642599310243952</v>
      </c>
      <c r="N80" s="74">
        <v>1415.9076631195876</v>
      </c>
      <c r="O80" s="98">
        <v>1439.5502624298315</v>
      </c>
      <c r="P80" s="72">
        <v>19.206175394409314</v>
      </c>
      <c r="Q80" s="72">
        <v>30.475328587961265</v>
      </c>
      <c r="R80" s="72">
        <v>2.1608808238930637</v>
      </c>
      <c r="S80" s="88">
        <v>51.842384806263645</v>
      </c>
      <c r="T80" s="73">
        <v>172.20555066783081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-1.9999999999976694E-3</v>
      </c>
      <c r="AA80" s="72">
        <v>-1.9999999999976694E-3</v>
      </c>
      <c r="AB80" s="72">
        <v>-1.9999999999967813E-3</v>
      </c>
      <c r="AC80" s="88">
        <v>-5.9999999999921201E-3</v>
      </c>
      <c r="AD80" s="73">
        <v>-1.9999999998342446E-3</v>
      </c>
      <c r="AE80" s="74">
        <v>127924.59793713102</v>
      </c>
      <c r="AF80" s="74">
        <v>92137.383250056984</v>
      </c>
      <c r="AG80" s="74">
        <v>88946.417960690669</v>
      </c>
      <c r="AH80" s="95">
        <v>101404.61210384022</v>
      </c>
      <c r="AI80" s="75">
        <v>9621.8481728583029</v>
      </c>
      <c r="AK80" s="348">
        <v>5</v>
      </c>
      <c r="AL80" s="81">
        <v>2027</v>
      </c>
      <c r="AM80" s="81" t="s">
        <v>4</v>
      </c>
      <c r="AN80" s="74">
        <f>SIM_BASE!E73</f>
        <v>55.411705725400829</v>
      </c>
      <c r="AO80" s="74">
        <f>SIM_BASE!F73</f>
        <v>136.24519817725957</v>
      </c>
      <c r="AP80" s="74">
        <f>SIM_BASE!G73</f>
        <v>13.904866169559588</v>
      </c>
      <c r="AQ80" s="95">
        <f t="shared" si="88"/>
        <v>205.56177007221999</v>
      </c>
      <c r="AR80" s="75">
        <f>SIM_BASE!H73</f>
        <v>1646.1975355009026</v>
      </c>
      <c r="AS80" s="74">
        <f>SIM_BASE!K73</f>
        <v>29.331331471630246</v>
      </c>
      <c r="AT80" s="74">
        <f>SIM_BASE!L73</f>
        <v>88.183601794112164</v>
      </c>
      <c r="AU80" s="74">
        <f>SIM_BASE!M73</f>
        <v>11.816596307890896</v>
      </c>
      <c r="AV80" s="95">
        <f t="shared" si="89"/>
        <v>129.3315295736333</v>
      </c>
      <c r="AW80" s="74">
        <f>SIM_BASE!N73</f>
        <v>32.672008340738827</v>
      </c>
      <c r="AX80" s="74">
        <f>SIM_BASE!O73</f>
        <v>1601.3444305121629</v>
      </c>
      <c r="AY80" s="98">
        <f t="shared" si="90"/>
        <v>1634.0164388529017</v>
      </c>
      <c r="AZ80" s="72">
        <f>SIM_BASE!V73</f>
        <v>26.081374253770552</v>
      </c>
      <c r="BA80" s="72">
        <f>SIM_BASE!W73</f>
        <v>48.062596383147479</v>
      </c>
      <c r="BB80" s="72">
        <f>SIM_BASE!X73</f>
        <v>2.0892698616686913</v>
      </c>
      <c r="BC80" s="88">
        <f t="shared" si="91"/>
        <v>76.233240498586724</v>
      </c>
      <c r="BD80" s="73">
        <f>SIM_BASE!Y73</f>
        <v>62.418939928862166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92"/>
        <v>3.0000000000000001E-3</v>
      </c>
      <c r="BI80" s="75">
        <f>SIM_BASE!U73</f>
        <v>-50.235843280861481</v>
      </c>
      <c r="BJ80" s="72">
        <f t="shared" si="117"/>
        <v>-1.9999999999692477E-3</v>
      </c>
      <c r="BK80" s="72">
        <f t="shared" si="118"/>
        <v>-2.0000000000758291E-3</v>
      </c>
      <c r="BL80" s="72">
        <f t="shared" si="119"/>
        <v>-1.9999999999990017E-3</v>
      </c>
      <c r="BM80" s="88">
        <f t="shared" si="93"/>
        <v>-6.0000000000440786E-3</v>
      </c>
      <c r="BN80" s="73">
        <f t="shared" si="120"/>
        <v>-1.999999999782176E-3</v>
      </c>
      <c r="BO80" s="74">
        <f>SIM_BASE!AB73</f>
        <v>188338.81013839954</v>
      </c>
      <c r="BP80" s="74">
        <f>SIM_BASE!AC73</f>
        <v>107511.9856672458</v>
      </c>
      <c r="BQ80" s="74">
        <f>SIM_BASE!AD73</f>
        <v>92608.824059219332</v>
      </c>
      <c r="BR80" s="95">
        <f t="shared" si="94"/>
        <v>124481.19451496055</v>
      </c>
      <c r="BS80" s="75">
        <f>SIM_BASE!AE73</f>
        <v>9634.1707379695054</v>
      </c>
    </row>
    <row r="81" spans="1:71">
      <c r="A81" s="348">
        <v>5</v>
      </c>
      <c r="B81" s="81">
        <v>2028</v>
      </c>
      <c r="C81" s="81" t="s">
        <v>4</v>
      </c>
      <c r="D81" s="74">
        <v>60.288757807817056</v>
      </c>
      <c r="E81" s="74">
        <v>139.01730118558623</v>
      </c>
      <c r="F81" s="74">
        <v>15.931867013841444</v>
      </c>
      <c r="G81" s="95">
        <v>215.23792600724474</v>
      </c>
      <c r="H81" s="75">
        <v>1728.3304620763183</v>
      </c>
      <c r="I81" s="74">
        <v>40.205486436163753</v>
      </c>
      <c r="J81" s="74">
        <v>105.47817741252597</v>
      </c>
      <c r="K81" s="74">
        <v>13.010597321341594</v>
      </c>
      <c r="L81" s="95">
        <v>158.69426117003133</v>
      </c>
      <c r="M81" s="74">
        <v>24.142937665017921</v>
      </c>
      <c r="N81" s="74">
        <v>1517.9728391911697</v>
      </c>
      <c r="O81" s="98">
        <v>1542.1157768561875</v>
      </c>
      <c r="P81" s="72">
        <v>20.084271371653312</v>
      </c>
      <c r="Q81" s="72">
        <v>33.540123773060294</v>
      </c>
      <c r="R81" s="72">
        <v>2.8938422893355575</v>
      </c>
      <c r="S81" s="88">
        <v>56.518237434049162</v>
      </c>
      <c r="T81" s="73">
        <v>186.21568522013081</v>
      </c>
      <c r="U81" s="72">
        <v>1E-3</v>
      </c>
      <c r="V81" s="72">
        <v>1E-3</v>
      </c>
      <c r="W81" s="72">
        <v>2.9427403164293417E-2</v>
      </c>
      <c r="X81" s="88">
        <v>3.1427403164293419E-2</v>
      </c>
      <c r="Y81" s="75">
        <v>1E-3</v>
      </c>
      <c r="Z81" s="72">
        <v>-2.0000000000083276E-3</v>
      </c>
      <c r="AA81" s="72">
        <v>-2.0000000000260912E-3</v>
      </c>
      <c r="AB81" s="72">
        <v>-2.0000000000009316E-3</v>
      </c>
      <c r="AC81" s="88">
        <v>-6.0000000000353503E-3</v>
      </c>
      <c r="AD81" s="73">
        <v>-1.9999999999763532E-3</v>
      </c>
      <c r="AE81" s="74">
        <v>133821.76053414572</v>
      </c>
      <c r="AF81" s="74">
        <v>90785.472102165106</v>
      </c>
      <c r="AG81" s="74">
        <v>88087.264781773498</v>
      </c>
      <c r="AH81" s="95">
        <v>101467.58252872566</v>
      </c>
      <c r="AI81" s="75">
        <v>9920.1496823886337</v>
      </c>
      <c r="AK81" s="348">
        <v>5</v>
      </c>
      <c r="AL81" s="81">
        <v>2028</v>
      </c>
      <c r="AM81" s="81" t="s">
        <v>4</v>
      </c>
      <c r="AN81" s="74">
        <f>SIM_BASE!E80</f>
        <v>57.168359217110172</v>
      </c>
      <c r="AO81" s="74">
        <f>SIM_BASE!F80</f>
        <v>148.40606407706983</v>
      </c>
      <c r="AP81" s="74">
        <f>SIM_BASE!G80</f>
        <v>15.644303896086436</v>
      </c>
      <c r="AQ81" s="95">
        <f t="shared" si="88"/>
        <v>221.21872719026643</v>
      </c>
      <c r="AR81" s="75">
        <f>SIM_BASE!H80</f>
        <v>1761.7886659706348</v>
      </c>
      <c r="AS81" s="74">
        <f>SIM_BASE!K80</f>
        <v>29.736803415169692</v>
      </c>
      <c r="AT81" s="74">
        <f>SIM_BASE!L80</f>
        <v>95.805437628239304</v>
      </c>
      <c r="AU81" s="74">
        <f>SIM_BASE!M80</f>
        <v>13.40393607962001</v>
      </c>
      <c r="AV81" s="95">
        <f t="shared" si="89"/>
        <v>138.946177123029</v>
      </c>
      <c r="AW81" s="74">
        <f>SIM_BASE!N80</f>
        <v>32.816596999662259</v>
      </c>
      <c r="AX81" s="74">
        <f>SIM_BASE!O80</f>
        <v>1707.767504539971</v>
      </c>
      <c r="AY81" s="98">
        <f t="shared" si="90"/>
        <v>1740.5841015396334</v>
      </c>
      <c r="AZ81" s="72">
        <f>SIM_BASE!V80</f>
        <v>27.432555801940303</v>
      </c>
      <c r="BA81" s="72">
        <f>SIM_BASE!W80</f>
        <v>52.601626448830835</v>
      </c>
      <c r="BB81" s="72">
        <f>SIM_BASE!X80</f>
        <v>2.2413678164664255</v>
      </c>
      <c r="BC81" s="88">
        <f t="shared" si="91"/>
        <v>82.27555006723756</v>
      </c>
      <c r="BD81" s="73">
        <f>SIM_BASE!Y80</f>
        <v>81.339769889229203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92"/>
        <v>3.0000000000000001E-3</v>
      </c>
      <c r="BI81" s="75">
        <f>SIM_BASE!U80</f>
        <v>-60.133205458228332</v>
      </c>
      <c r="BJ81" s="72">
        <f t="shared" si="117"/>
        <v>-1.9999999998235865E-3</v>
      </c>
      <c r="BK81" s="72">
        <f t="shared" si="118"/>
        <v>-2.0000000003103082E-3</v>
      </c>
      <c r="BL81" s="72">
        <f t="shared" si="119"/>
        <v>-1.9999999999994458E-3</v>
      </c>
      <c r="BM81" s="88">
        <f t="shared" si="93"/>
        <v>-6.0000000001333405E-3</v>
      </c>
      <c r="BN81" s="73">
        <f t="shared" si="120"/>
        <v>-1.9999999993984829E-3</v>
      </c>
      <c r="BO81" s="74">
        <f>SIM_BASE!AB80</f>
        <v>197704.08359590269</v>
      </c>
      <c r="BP81" s="74">
        <f>SIM_BASE!AC80</f>
        <v>105614.39486063368</v>
      </c>
      <c r="BQ81" s="74">
        <f>SIM_BASE!AD80</f>
        <v>89355.802346213895</v>
      </c>
      <c r="BR81" s="95">
        <f t="shared" si="94"/>
        <v>123754.68405653728</v>
      </c>
      <c r="BS81" s="75">
        <f>SIM_BASE!AE80</f>
        <v>9932.7680705743387</v>
      </c>
    </row>
    <row r="82" spans="1:71">
      <c r="A82" s="496">
        <v>5</v>
      </c>
      <c r="B82" s="81">
        <v>2029</v>
      </c>
      <c r="C82" s="81" t="s">
        <v>4</v>
      </c>
      <c r="D82" s="74">
        <v>61.977573140862511</v>
      </c>
      <c r="E82" s="74">
        <v>152.14926948946788</v>
      </c>
      <c r="F82" s="74">
        <v>18.60605038815979</v>
      </c>
      <c r="G82" s="95">
        <v>232.73289301849019</v>
      </c>
      <c r="H82" s="75">
        <v>1865.7615064466308</v>
      </c>
      <c r="I82" s="74">
        <v>40.988449467957224</v>
      </c>
      <c r="J82" s="74">
        <v>115.36176732653352</v>
      </c>
      <c r="K82" s="74">
        <v>14.419859150823411</v>
      </c>
      <c r="L82" s="95">
        <v>170.77007594531415</v>
      </c>
      <c r="M82" s="74">
        <v>24.615285027015915</v>
      </c>
      <c r="N82" s="74">
        <v>1634.1209585218835</v>
      </c>
      <c r="O82" s="98">
        <v>1658.7362435488994</v>
      </c>
      <c r="P82" s="72">
        <v>20.990123672905295</v>
      </c>
      <c r="Q82" s="72">
        <v>36.788502162934329</v>
      </c>
      <c r="R82" s="72">
        <v>2.3464969933292181</v>
      </c>
      <c r="S82" s="88">
        <v>60.125122829168838</v>
      </c>
      <c r="T82" s="73">
        <v>209.71946375706486</v>
      </c>
      <c r="U82" s="72">
        <v>1E-3</v>
      </c>
      <c r="V82" s="72">
        <v>1E-3</v>
      </c>
      <c r="W82" s="72">
        <v>1.8416942440071598</v>
      </c>
      <c r="X82" s="88">
        <v>1.8436942440071598</v>
      </c>
      <c r="Y82" s="75">
        <v>-2.6922008593329259</v>
      </c>
      <c r="Z82" s="72">
        <v>-2.0000000000083276E-3</v>
      </c>
      <c r="AA82" s="72">
        <v>-1.9999999999692477E-3</v>
      </c>
      <c r="AB82" s="72">
        <v>-1.9999999999988916E-3</v>
      </c>
      <c r="AC82" s="88">
        <v>-5.9999999999764669E-3</v>
      </c>
      <c r="AD82" s="73">
        <v>-2.0000000005233609E-3</v>
      </c>
      <c r="AE82" s="74">
        <v>139979.961210735</v>
      </c>
      <c r="AF82" s="74">
        <v>88767.159722614422</v>
      </c>
      <c r="AG82" s="74">
        <v>87488.425283200981</v>
      </c>
      <c r="AH82" s="95">
        <v>100951.34447443833</v>
      </c>
      <c r="AI82" s="75">
        <v>10244.976988840233</v>
      </c>
      <c r="AK82" s="496">
        <v>5</v>
      </c>
      <c r="AL82" s="81">
        <v>2029</v>
      </c>
      <c r="AM82" s="81" t="s">
        <v>4</v>
      </c>
      <c r="AN82" s="74">
        <f>SIM_BASE!E87</f>
        <v>58.998992026591715</v>
      </c>
      <c r="AO82" s="74">
        <f>SIM_BASE!F87</f>
        <v>162.60126588295273</v>
      </c>
      <c r="AP82" s="74">
        <f>SIM_BASE!G87</f>
        <v>18.1835319642739</v>
      </c>
      <c r="AQ82" s="95">
        <f t="shared" si="88"/>
        <v>239.78378987381834</v>
      </c>
      <c r="AR82" s="75">
        <f>SIM_BASE!H87</f>
        <v>1897.5968964314397</v>
      </c>
      <c r="AS82" s="74">
        <f>SIM_BASE!K87</f>
        <v>30.145313434940547</v>
      </c>
      <c r="AT82" s="74">
        <f>SIM_BASE!L87</f>
        <v>104.67191679847291</v>
      </c>
      <c r="AU82" s="74">
        <f>SIM_BASE!M87</f>
        <v>14.938559282684285</v>
      </c>
      <c r="AV82" s="95">
        <f t="shared" si="89"/>
        <v>149.75578951609774</v>
      </c>
      <c r="AW82" s="74">
        <f>SIM_BASE!N87</f>
        <v>33.375565742176178</v>
      </c>
      <c r="AX82" s="74">
        <f>SIM_BASE!O87</f>
        <v>1842.0544037906193</v>
      </c>
      <c r="AY82" s="98">
        <f t="shared" si="90"/>
        <v>1875.4299695327954</v>
      </c>
      <c r="AZ82" s="72">
        <f>SIM_BASE!V87</f>
        <v>28.854678591651208</v>
      </c>
      <c r="BA82" s="72">
        <f>SIM_BASE!W87</f>
        <v>57.930349084479808</v>
      </c>
      <c r="BB82" s="72">
        <f>SIM_BASE!X87</f>
        <v>3.2110145652597728</v>
      </c>
      <c r="BC82" s="88">
        <f t="shared" si="91"/>
        <v>89.996042241390796</v>
      </c>
      <c r="BD82" s="73">
        <f>SIM_BASE!Y87</f>
        <v>100.40307368077721</v>
      </c>
      <c r="BE82" s="72">
        <f>SIM_BASE!R87</f>
        <v>1E-3</v>
      </c>
      <c r="BF82" s="72">
        <f>SIM_BASE!S87</f>
        <v>1E-3</v>
      </c>
      <c r="BG82" s="72">
        <f>SIM_BASE!T87</f>
        <v>3.5958116329847301E-2</v>
      </c>
      <c r="BH82" s="88">
        <f t="shared" si="92"/>
        <v>3.7958116329847302E-2</v>
      </c>
      <c r="BI82" s="75">
        <f>SIM_BASE!U87</f>
        <v>-78.234146782132598</v>
      </c>
      <c r="BJ82" s="72">
        <f t="shared" si="117"/>
        <v>-2.000000000040302E-3</v>
      </c>
      <c r="BK82" s="72">
        <f t="shared" si="118"/>
        <v>-1.9999999999834586E-3</v>
      </c>
      <c r="BL82" s="72">
        <f t="shared" si="119"/>
        <v>-2.0000000000044982E-3</v>
      </c>
      <c r="BM82" s="88">
        <f t="shared" si="93"/>
        <v>-6.0000000000282588E-3</v>
      </c>
      <c r="BN82" s="73">
        <f t="shared" si="120"/>
        <v>-2.0000000003079776E-3</v>
      </c>
      <c r="BO82" s="74">
        <f>SIM_BASE!AB87</f>
        <v>208007.55224727764</v>
      </c>
      <c r="BP82" s="74">
        <f>SIM_BASE!AC87</f>
        <v>103327.76816931416</v>
      </c>
      <c r="BQ82" s="74">
        <f>SIM_BASE!AD87</f>
        <v>88160.757079521325</v>
      </c>
      <c r="BR82" s="95">
        <f t="shared" si="94"/>
        <v>122886.4885132195</v>
      </c>
      <c r="BS82" s="75">
        <f>SIM_BASE!AE87</f>
        <v>10242.196263215968</v>
      </c>
    </row>
    <row r="83" spans="1:71" ht="17" thickBot="1">
      <c r="A83" s="382">
        <v>5</v>
      </c>
      <c r="B83" s="82">
        <v>2030</v>
      </c>
      <c r="C83" s="82" t="s">
        <v>4</v>
      </c>
      <c r="D83" s="78">
        <v>74.880067892673267</v>
      </c>
      <c r="E83" s="78">
        <v>510.06363253690097</v>
      </c>
      <c r="F83" s="78">
        <v>73.591988395233287</v>
      </c>
      <c r="G83" s="96">
        <v>658.53568882480761</v>
      </c>
      <c r="H83" s="79">
        <v>680.75985712359852</v>
      </c>
      <c r="I83" s="78">
        <v>41.501301893092766</v>
      </c>
      <c r="J83" s="78">
        <v>380.41702188284182</v>
      </c>
      <c r="K83" s="78">
        <v>49.613602230580987</v>
      </c>
      <c r="L83" s="96">
        <v>471.53192600651556</v>
      </c>
      <c r="M83" s="78">
        <v>42.836651672977581</v>
      </c>
      <c r="N83" s="78">
        <v>5011.2485709054372</v>
      </c>
      <c r="O83" s="99">
        <v>5054.0852225784147</v>
      </c>
      <c r="P83" s="76">
        <v>33.379765999580684</v>
      </c>
      <c r="Q83" s="76">
        <v>129.64761065405938</v>
      </c>
      <c r="R83" s="76">
        <v>0.21014315174207374</v>
      </c>
      <c r="S83" s="89">
        <v>163.23751980538214</v>
      </c>
      <c r="T83" s="77">
        <v>1E-3</v>
      </c>
      <c r="U83" s="76">
        <v>1E-3</v>
      </c>
      <c r="V83" s="76">
        <v>1E-3</v>
      </c>
      <c r="W83" s="76">
        <v>23.770243012910228</v>
      </c>
      <c r="X83" s="89">
        <v>23.772243012910227</v>
      </c>
      <c r="Y83" s="79">
        <v>-4373.324365454816</v>
      </c>
      <c r="Z83" s="72">
        <v>-2.0000000001824106E-3</v>
      </c>
      <c r="AA83" s="72">
        <v>-2.0000000002321485E-3</v>
      </c>
      <c r="AB83" s="72">
        <v>-2.0000000000024443E-3</v>
      </c>
      <c r="AC83" s="88">
        <v>-6.0000000004170034E-3</v>
      </c>
      <c r="AD83" s="73">
        <v>-2.0000000004074536E-3</v>
      </c>
      <c r="AE83" s="78">
        <v>141089.29058949946</v>
      </c>
      <c r="AF83" s="78">
        <v>91172.71233264498</v>
      </c>
      <c r="AG83" s="78">
        <v>88657.255283200939</v>
      </c>
      <c r="AH83" s="96">
        <v>95301.387382744942</v>
      </c>
      <c r="AI83" s="79">
        <v>9887.8528762456863</v>
      </c>
      <c r="AK83" s="382">
        <v>5</v>
      </c>
      <c r="AL83" s="82">
        <v>2030</v>
      </c>
      <c r="AM83" s="82" t="s">
        <v>4</v>
      </c>
      <c r="AN83" s="74">
        <f>SIM_BASE!E88</f>
        <v>7.3807811893543516</v>
      </c>
      <c r="AO83" s="74">
        <f>SIM_BASE!F88</f>
        <v>498.14111781197187</v>
      </c>
      <c r="AP83" s="74">
        <f>SIM_BASE!G88</f>
        <v>71.364412866437419</v>
      </c>
      <c r="AQ83" s="95">
        <f t="shared" ref="AQ83" si="121">SUM(AN83:AP83)</f>
        <v>576.88631186776365</v>
      </c>
      <c r="AR83" s="75">
        <f>SIM_BASE!H88</f>
        <v>692.79055692727513</v>
      </c>
      <c r="AS83" s="74">
        <f>SIM_BASE!K88</f>
        <v>30.328180763670009</v>
      </c>
      <c r="AT83" s="74">
        <f>SIM_BASE!L88</f>
        <v>343.92006010106081</v>
      </c>
      <c r="AU83" s="74">
        <f>SIM_BASE!M88</f>
        <v>51.92875319064067</v>
      </c>
      <c r="AV83" s="95">
        <f t="shared" ref="AV83" si="122">SUM(AS83:AU83)</f>
        <v>426.17699405537149</v>
      </c>
      <c r="AW83" s="74">
        <f>SIM_BASE!N88</f>
        <v>58.821535537845072</v>
      </c>
      <c r="AX83" s="74">
        <f>SIM_BASE!O88</f>
        <v>4870.1432746333257</v>
      </c>
      <c r="AY83" s="98">
        <f t="shared" ref="AY83" si="123">SUM(AW83:AX83)</f>
        <v>4928.9648101711709</v>
      </c>
      <c r="AZ83" s="72">
        <f>SIM_BASE!V88</f>
        <v>-22.946399574315659</v>
      </c>
      <c r="BA83" s="72">
        <f>SIM_BASE!W88</f>
        <v>154.22205771091089</v>
      </c>
      <c r="BB83" s="72">
        <f>SIM_BASE!X88</f>
        <v>0.36532886623134675</v>
      </c>
      <c r="BC83" s="88">
        <f t="shared" ref="BC83" si="124">SUM(AZ83:BB83)</f>
        <v>131.64098700282659</v>
      </c>
      <c r="BD83" s="73">
        <f>SIM_BASE!Y88</f>
        <v>1E-3</v>
      </c>
      <c r="BE83" s="72">
        <f>SIM_BASE!R88</f>
        <v>1E-3</v>
      </c>
      <c r="BF83" s="72">
        <f>SIM_BASE!S88</f>
        <v>1E-3</v>
      </c>
      <c r="BG83" s="72">
        <f>SIM_BASE!T88</f>
        <v>19.07233080956539</v>
      </c>
      <c r="BH83" s="88">
        <f t="shared" ref="BH83" si="125">SUM(BE83:BG83)</f>
        <v>19.074330809565389</v>
      </c>
      <c r="BI83" s="75">
        <f>SIM_BASE!U88</f>
        <v>-4236.1732532438964</v>
      </c>
      <c r="BJ83" s="72">
        <f t="shared" ref="BJ83" si="126">AN83-AS83-AZ83-BE83</f>
        <v>-1.9999999999976694E-3</v>
      </c>
      <c r="BK83" s="72">
        <f t="shared" ref="BK83" si="127">AO83-AT83-BA83-BF83</f>
        <v>-1.9999999998342446E-3</v>
      </c>
      <c r="BL83" s="72">
        <f t="shared" ref="BL83" si="128">AP83-AU83-BB83-BG83</f>
        <v>-1.9999999999882334E-3</v>
      </c>
      <c r="BM83" s="88">
        <f t="shared" ref="BM83" si="129">SUM(BJ83:BL83)</f>
        <v>-5.9999999998201475E-3</v>
      </c>
      <c r="BN83" s="73">
        <f t="shared" ref="BN83" si="130">AR83-AW83-AX83-BD83-BI83</f>
        <v>-1.9999999994979589E-3</v>
      </c>
      <c r="BO83" s="74">
        <f>SIM_BASE!AB88</f>
        <v>209740.59673905108</v>
      </c>
      <c r="BP83" s="74">
        <f>SIM_BASE!AC88</f>
        <v>107083.82979981005</v>
      </c>
      <c r="BQ83" s="74">
        <f>SIM_BASE!AD88</f>
        <v>88657.255283200968</v>
      </c>
      <c r="BR83" s="95">
        <f t="shared" ref="BR83" si="131">SUMPRODUCT(BO83:BQ83,AS83:AU83)/AV83</f>
        <v>112143.99018905226</v>
      </c>
      <c r="BS83" s="75">
        <f>SIM_BASE!AE88</f>
        <v>9887.1920814291916</v>
      </c>
    </row>
    <row r="84" spans="1:71">
      <c r="A84" s="347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47">
        <v>6</v>
      </c>
      <c r="AL84" s="80">
        <v>2018</v>
      </c>
      <c r="AM84" s="80" t="s">
        <v>5</v>
      </c>
      <c r="AN84" s="70">
        <f>SIM_BASE!E11</f>
        <v>53.86419945396409</v>
      </c>
      <c r="AO84" s="70">
        <f>SIM_BASE!F11</f>
        <v>252.91926633769722</v>
      </c>
      <c r="AP84" s="70">
        <f>SIM_BASE!G11</f>
        <v>27.319455338942891</v>
      </c>
      <c r="AQ84" s="94">
        <f t="shared" si="88"/>
        <v>334.10292113060422</v>
      </c>
      <c r="AR84" s="71">
        <f>SIM_BASE!H11</f>
        <v>387.04263670514086</v>
      </c>
      <c r="AS84" s="70">
        <f>SIM_BASE!K11</f>
        <v>44.797878595792078</v>
      </c>
      <c r="AT84" s="70">
        <f>SIM_BASE!L11</f>
        <v>223.6504991370177</v>
      </c>
      <c r="AU84" s="70">
        <f>SIM_BASE!M11</f>
        <v>23.76852887944677</v>
      </c>
      <c r="AV84" s="94">
        <f t="shared" si="89"/>
        <v>292.21690661225654</v>
      </c>
      <c r="AW84" s="70">
        <f>SIM_BASE!N11</f>
        <v>27.744910633943054</v>
      </c>
      <c r="AX84" s="70">
        <f>SIM_BASE!O11</f>
        <v>2479.9422049503937</v>
      </c>
      <c r="AY84" s="97">
        <f t="shared" si="90"/>
        <v>2507.6871155843369</v>
      </c>
      <c r="AZ84" s="68">
        <f>SIM_BASE!V11</f>
        <v>9.0673208581720122</v>
      </c>
      <c r="BA84" s="68">
        <f>SIM_BASE!W11</f>
        <v>29.269767200679553</v>
      </c>
      <c r="BB84" s="68">
        <f>SIM_BASE!X11</f>
        <v>1.5669084965677371</v>
      </c>
      <c r="BC84" s="87">
        <f t="shared" si="91"/>
        <v>39.903996555419297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1.9860179629283854</v>
      </c>
      <c r="BH84" s="87">
        <f t="shared" si="92"/>
        <v>1.9880179629283854</v>
      </c>
      <c r="BI84" s="71">
        <f>SIM_BASE!U11</f>
        <v>-2120.6434788791962</v>
      </c>
      <c r="BJ84" s="68">
        <f t="shared" si="117"/>
        <v>-1.9999999999994458E-3</v>
      </c>
      <c r="BK84" s="68">
        <f t="shared" si="118"/>
        <v>-2.0000000000331966E-3</v>
      </c>
      <c r="BL84" s="68">
        <f t="shared" si="119"/>
        <v>-2.00000000000089E-3</v>
      </c>
      <c r="BM84" s="87">
        <f t="shared" si="93"/>
        <v>-6.0000000000335323E-3</v>
      </c>
      <c r="BN84" s="69">
        <f t="shared" si="120"/>
        <v>-1.9999999999527063E-3</v>
      </c>
      <c r="BO84" s="70">
        <f>SIM_BASE!AB11</f>
        <v>79943.816429671875</v>
      </c>
      <c r="BP84" s="70">
        <f>SIM_BASE!AC11</f>
        <v>79057.510311513295</v>
      </c>
      <c r="BQ84" s="70">
        <f>SIM_BASE!AD11</f>
        <v>81688.960000000006</v>
      </c>
      <c r="BR84" s="94">
        <f t="shared" si="94"/>
        <v>79407.422720692484</v>
      </c>
      <c r="BS84" s="71">
        <f>SIM_BASE!AE11</f>
        <v>6873.29761940147</v>
      </c>
    </row>
    <row r="85" spans="1:71">
      <c r="A85" s="348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48">
        <v>6</v>
      </c>
      <c r="AL85" s="81">
        <v>2019</v>
      </c>
      <c r="AM85" s="81" t="s">
        <v>5</v>
      </c>
      <c r="AN85" s="74">
        <f>SIM_BASE!E18</f>
        <v>5.2356156894821622</v>
      </c>
      <c r="AO85" s="74">
        <f>SIM_BASE!F18</f>
        <v>230.94391369543675</v>
      </c>
      <c r="AP85" s="74">
        <f>SIM_BASE!G18</f>
        <v>29.671647752641178</v>
      </c>
      <c r="AQ85" s="95">
        <f t="shared" si="88"/>
        <v>265.85117713756006</v>
      </c>
      <c r="AR85" s="75">
        <f>SIM_BASE!H18</f>
        <v>395.94292567485763</v>
      </c>
      <c r="AS85" s="74">
        <f>SIM_BASE!K18</f>
        <v>27.701338476704237</v>
      </c>
      <c r="AT85" s="74">
        <f>SIM_BASE!L18</f>
        <v>187.14912492844354</v>
      </c>
      <c r="AU85" s="74">
        <f>SIM_BASE!M18</f>
        <v>26.002393228534011</v>
      </c>
      <c r="AV85" s="95">
        <f t="shared" si="89"/>
        <v>240.85285663368177</v>
      </c>
      <c r="AW85" s="74">
        <f>SIM_BASE!N18</f>
        <v>32.663953940563218</v>
      </c>
      <c r="AX85" s="74">
        <f>SIM_BASE!O18</f>
        <v>2164.8034090923484</v>
      </c>
      <c r="AY85" s="98">
        <f t="shared" si="90"/>
        <v>2197.4673630329116</v>
      </c>
      <c r="AZ85" s="72">
        <f>SIM_BASE!V18</f>
        <v>-22.464722787222101</v>
      </c>
      <c r="BA85" s="72">
        <f>SIM_BASE!W18</f>
        <v>43.79578876699329</v>
      </c>
      <c r="BB85" s="72">
        <f>SIM_BASE!X18</f>
        <v>3.6702545241071722</v>
      </c>
      <c r="BC85" s="88">
        <f t="shared" si="91"/>
        <v>25.001320503878361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92"/>
        <v>3.0000000000000001E-3</v>
      </c>
      <c r="BI85" s="75">
        <f>SIM_BASE!U18</f>
        <v>-1801.5234373580545</v>
      </c>
      <c r="BJ85" s="72">
        <f t="shared" si="117"/>
        <v>-1.9999999999728004E-3</v>
      </c>
      <c r="BK85" s="72">
        <f t="shared" si="118"/>
        <v>-2.0000000000829346E-3</v>
      </c>
      <c r="BL85" s="72">
        <f t="shared" si="119"/>
        <v>-2.000000000005219E-3</v>
      </c>
      <c r="BM85" s="88">
        <f t="shared" si="93"/>
        <v>-6.000000000060954E-3</v>
      </c>
      <c r="BN85" s="73">
        <f t="shared" si="120"/>
        <v>-1.9999999994979589E-3</v>
      </c>
      <c r="BO85" s="74">
        <f>SIM_BASE!AB18</f>
        <v>115472.06119184487</v>
      </c>
      <c r="BP85" s="74">
        <f>SIM_BASE!AC18</f>
        <v>83529.246421251009</v>
      </c>
      <c r="BQ85" s="74">
        <f>SIM_BASE!AD18</f>
        <v>91890.49585956872</v>
      </c>
      <c r="BR85" s="95">
        <f t="shared" si="94"/>
        <v>88105.780139978509</v>
      </c>
      <c r="BS85" s="75">
        <f>SIM_BASE!AE18</f>
        <v>7172.6063430966306</v>
      </c>
    </row>
    <row r="86" spans="1:71">
      <c r="A86" s="348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48">
        <v>6</v>
      </c>
      <c r="AL86" s="81">
        <v>2020</v>
      </c>
      <c r="AM86" s="81" t="s">
        <v>5</v>
      </c>
      <c r="AN86" s="74">
        <f>SIM_BASE!E25</f>
        <v>5.6442318331685444</v>
      </c>
      <c r="AO86" s="74">
        <f>SIM_BASE!F25</f>
        <v>268.07534516265775</v>
      </c>
      <c r="AP86" s="74">
        <f>SIM_BASE!G25</f>
        <v>29.909849317503056</v>
      </c>
      <c r="AQ86" s="95">
        <f t="shared" si="88"/>
        <v>303.62942631332936</v>
      </c>
      <c r="AR86" s="75">
        <f>SIM_BASE!H25</f>
        <v>413.43729708040587</v>
      </c>
      <c r="AS86" s="74">
        <f>SIM_BASE!K25</f>
        <v>32.434357206993347</v>
      </c>
      <c r="AT86" s="74">
        <f>SIM_BASE!L25</f>
        <v>210.91559975277875</v>
      </c>
      <c r="AU86" s="74">
        <f>SIM_BASE!M25</f>
        <v>25.999007399398465</v>
      </c>
      <c r="AV86" s="95">
        <f t="shared" si="89"/>
        <v>269.34896435917057</v>
      </c>
      <c r="AW86" s="74">
        <f>SIM_BASE!N25</f>
        <v>38.710749435438835</v>
      </c>
      <c r="AX86" s="74">
        <f>SIM_BASE!O25</f>
        <v>2593.5559910617717</v>
      </c>
      <c r="AY86" s="98">
        <f t="shared" si="90"/>
        <v>2632.2667404972103</v>
      </c>
      <c r="AZ86" s="72">
        <f>SIM_BASE!V25</f>
        <v>-26.789125373824781</v>
      </c>
      <c r="BA86" s="72">
        <f>SIM_BASE!W25</f>
        <v>57.160745409878963</v>
      </c>
      <c r="BB86" s="72">
        <f>SIM_BASE!X25</f>
        <v>3.9118419181046229</v>
      </c>
      <c r="BC86" s="88">
        <f t="shared" si="91"/>
        <v>34.283461954158803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92"/>
        <v>3.0000000000000001E-3</v>
      </c>
      <c r="BI86" s="75">
        <f>SIM_BASE!U25</f>
        <v>-2218.8284434168045</v>
      </c>
      <c r="BJ86" s="72">
        <f t="shared" si="117"/>
        <v>-2.0000000000225384E-3</v>
      </c>
      <c r="BK86" s="72">
        <f t="shared" si="118"/>
        <v>-1.9999999999550369E-3</v>
      </c>
      <c r="BL86" s="72">
        <f t="shared" si="119"/>
        <v>-2.0000000000318643E-3</v>
      </c>
      <c r="BM86" s="88">
        <f t="shared" si="93"/>
        <v>-6.0000000000094396E-3</v>
      </c>
      <c r="BN86" s="73">
        <f t="shared" si="120"/>
        <v>-2.0000000004074536E-3</v>
      </c>
      <c r="BO86" s="74">
        <f>SIM_BASE!AB25</f>
        <v>132737.59757009661</v>
      </c>
      <c r="BP86" s="74">
        <f>SIM_BASE!AC25</f>
        <v>102556.833103179</v>
      </c>
      <c r="BQ86" s="74">
        <f>SIM_BASE!AD25</f>
        <v>91837.278736103035</v>
      </c>
      <c r="BR86" s="95">
        <f t="shared" si="94"/>
        <v>105156.41956848497</v>
      </c>
      <c r="BS86" s="75">
        <f>SIM_BASE!AE25</f>
        <v>7390.0731751888552</v>
      </c>
    </row>
    <row r="87" spans="1:71">
      <c r="A87" s="348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48">
        <v>6</v>
      </c>
      <c r="AL87" s="81">
        <v>2021</v>
      </c>
      <c r="AM87" s="81" t="s">
        <v>5</v>
      </c>
      <c r="AN87" s="74">
        <f>SIM_BASE!E32</f>
        <v>5.8125156880481414</v>
      </c>
      <c r="AO87" s="74">
        <f>SIM_BASE!F32</f>
        <v>281.04351909210015</v>
      </c>
      <c r="AP87" s="74">
        <f>SIM_BASE!G32</f>
        <v>31.776756460425297</v>
      </c>
      <c r="AQ87" s="95">
        <f t="shared" si="88"/>
        <v>318.63279124057362</v>
      </c>
      <c r="AR87" s="75">
        <f>SIM_BASE!H32</f>
        <v>431.22484749563898</v>
      </c>
      <c r="AS87" s="74">
        <f>SIM_BASE!K32</f>
        <v>32.233184348965096</v>
      </c>
      <c r="AT87" s="74">
        <f>SIM_BASE!L32</f>
        <v>217.76520329726191</v>
      </c>
      <c r="AU87" s="74">
        <f>SIM_BASE!M32</f>
        <v>27.277310926851406</v>
      </c>
      <c r="AV87" s="95">
        <f t="shared" si="89"/>
        <v>277.27569857307839</v>
      </c>
      <c r="AW87" s="74">
        <f>SIM_BASE!N32</f>
        <v>41.418501425537741</v>
      </c>
      <c r="AX87" s="74">
        <f>SIM_BASE!O32</f>
        <v>2744.6202929604829</v>
      </c>
      <c r="AY87" s="98">
        <f t="shared" si="90"/>
        <v>2786.0387943860205</v>
      </c>
      <c r="AZ87" s="72">
        <f>SIM_BASE!V32</f>
        <v>-26.419668660916958</v>
      </c>
      <c r="BA87" s="72">
        <f>SIM_BASE!W32</f>
        <v>63.27931579483834</v>
      </c>
      <c r="BB87" s="72">
        <f>SIM_BASE!X32</f>
        <v>4.5004455335738704</v>
      </c>
      <c r="BC87" s="88">
        <f t="shared" si="91"/>
        <v>41.360092667495252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92"/>
        <v>3.0000000000000001E-3</v>
      </c>
      <c r="BI87" s="75">
        <f>SIM_BASE!U32</f>
        <v>-2354.8129468903817</v>
      </c>
      <c r="BJ87" s="72">
        <f t="shared" si="117"/>
        <v>-1.9999999999976694E-3</v>
      </c>
      <c r="BK87" s="72">
        <f t="shared" si="118"/>
        <v>-2.00000000009004E-3</v>
      </c>
      <c r="BL87" s="72">
        <f t="shared" si="119"/>
        <v>-1.9999999999799059E-3</v>
      </c>
      <c r="BM87" s="88">
        <f t="shared" si="93"/>
        <v>-6.0000000000676153E-3</v>
      </c>
      <c r="BN87" s="73">
        <f t="shared" si="120"/>
        <v>-1.9999999999527063E-3</v>
      </c>
      <c r="BO87" s="74">
        <f>SIM_BASE!AB32</f>
        <v>140169.12654102236</v>
      </c>
      <c r="BP87" s="74">
        <f>SIM_BASE!AC32</f>
        <v>106164.56482623314</v>
      </c>
      <c r="BQ87" s="74">
        <f>SIM_BASE!AD32</f>
        <v>94472.430038061197</v>
      </c>
      <c r="BR87" s="95">
        <f t="shared" si="94"/>
        <v>108967.35394349911</v>
      </c>
      <c r="BS87" s="75">
        <f>SIM_BASE!AE32</f>
        <v>7645.7552488619622</v>
      </c>
    </row>
    <row r="88" spans="1:71">
      <c r="A88" s="348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48">
        <v>6</v>
      </c>
      <c r="AL88" s="81">
        <v>2022</v>
      </c>
      <c r="AM88" s="81" t="s">
        <v>5</v>
      </c>
      <c r="AN88" s="74">
        <f>SIM_BASE!E39</f>
        <v>5.986266252569207</v>
      </c>
      <c r="AO88" s="74">
        <f>SIM_BASE!F39</f>
        <v>296.35400788603397</v>
      </c>
      <c r="AP88" s="74">
        <f>SIM_BASE!G39</f>
        <v>34.018258022157752</v>
      </c>
      <c r="AQ88" s="95">
        <f t="shared" ref="AQ88:AQ108" si="132">SUM(AN88:AP88)</f>
        <v>336.35853216076089</v>
      </c>
      <c r="AR88" s="75">
        <f>SIM_BASE!H39</f>
        <v>451.57146940415925</v>
      </c>
      <c r="AS88" s="74">
        <f>SIM_BASE!K39</f>
        <v>32.023764251274073</v>
      </c>
      <c r="AT88" s="74">
        <f>SIM_BASE!L39</f>
        <v>225.97852025858455</v>
      </c>
      <c r="AU88" s="74">
        <f>SIM_BASE!M39</f>
        <v>28.871783897408697</v>
      </c>
      <c r="AV88" s="95">
        <f t="shared" ref="AV88:AV108" si="133">SUM(AS88:AU88)</f>
        <v>286.87406840726732</v>
      </c>
      <c r="AW88" s="74">
        <f>SIM_BASE!N39</f>
        <v>44.265040247210486</v>
      </c>
      <c r="AX88" s="74">
        <f>SIM_BASE!O39</f>
        <v>2915.2619648391546</v>
      </c>
      <c r="AY88" s="98">
        <f t="shared" ref="AY88:AY108" si="134">SUM(AW88:AX88)</f>
        <v>2959.5270050863651</v>
      </c>
      <c r="AZ88" s="72">
        <f>SIM_BASE!V39</f>
        <v>-26.036497998704828</v>
      </c>
      <c r="BA88" s="72">
        <f>SIM_BASE!W39</f>
        <v>70.376487627449393</v>
      </c>
      <c r="BB88" s="72">
        <f>SIM_BASE!X39</f>
        <v>5.1474741247490297</v>
      </c>
      <c r="BC88" s="88">
        <f t="shared" ref="BC88:BC108" si="135">SUM(AZ88:BB88)</f>
        <v>49.487463753493593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6">SUM(BE88:BG88)</f>
        <v>3.0000000000000001E-3</v>
      </c>
      <c r="BI88" s="75">
        <f>SIM_BASE!U39</f>
        <v>-2507.9545356822055</v>
      </c>
      <c r="BJ88" s="72">
        <f t="shared" si="117"/>
        <v>-2.0000000000367493E-3</v>
      </c>
      <c r="BK88" s="72">
        <f t="shared" si="118"/>
        <v>-1.9999999999763532E-3</v>
      </c>
      <c r="BL88" s="72">
        <f t="shared" si="119"/>
        <v>-1.9999999999745768E-3</v>
      </c>
      <c r="BM88" s="88">
        <f t="shared" ref="BM88:BM108" si="137">SUM(BJ88:BL88)</f>
        <v>-5.9999999999876793E-3</v>
      </c>
      <c r="BN88" s="73">
        <f t="shared" si="120"/>
        <v>-2.0000000004074536E-3</v>
      </c>
      <c r="BO88" s="74">
        <f>SIM_BASE!AB39</f>
        <v>147872.84603975402</v>
      </c>
      <c r="BP88" s="74">
        <f>SIM_BASE!AC39</f>
        <v>109169.28268628183</v>
      </c>
      <c r="BQ88" s="74">
        <f>SIM_BASE!AD39</f>
        <v>96264.764397677238</v>
      </c>
      <c r="BR88" s="95">
        <f t="shared" ref="BR88:BR108" si="138">SUMPRODUCT(BO88:BQ88,AS88:AU88)/AV88</f>
        <v>112191.01737983538</v>
      </c>
      <c r="BS88" s="75">
        <f>SIM_BASE!AE39</f>
        <v>7909.2400347675075</v>
      </c>
    </row>
    <row r="89" spans="1:71">
      <c r="A89" s="348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48">
        <v>6</v>
      </c>
      <c r="AL89" s="81">
        <v>2023</v>
      </c>
      <c r="AM89" s="81" t="s">
        <v>5</v>
      </c>
      <c r="AN89" s="74">
        <f>SIM_BASE!E46</f>
        <v>6.1620138260424824</v>
      </c>
      <c r="AO89" s="74">
        <f>SIM_BASE!F46</f>
        <v>314.19976121884145</v>
      </c>
      <c r="AP89" s="74">
        <f>SIM_BASE!G46</f>
        <v>36.705924563505789</v>
      </c>
      <c r="AQ89" s="95">
        <f t="shared" si="132"/>
        <v>357.06769960838972</v>
      </c>
      <c r="AR89" s="75">
        <f>SIM_BASE!H46</f>
        <v>474.20728594881882</v>
      </c>
      <c r="AS89" s="74">
        <f>SIM_BASE!K46</f>
        <v>31.833659324715317</v>
      </c>
      <c r="AT89" s="74">
        <f>SIM_BASE!L46</f>
        <v>235.81662657022611</v>
      </c>
      <c r="AU89" s="74">
        <f>SIM_BASE!M46</f>
        <v>30.82158906855372</v>
      </c>
      <c r="AV89" s="95">
        <f t="shared" si="133"/>
        <v>298.47187496349511</v>
      </c>
      <c r="AW89" s="74">
        <f>SIM_BASE!N46</f>
        <v>47.093748178250856</v>
      </c>
      <c r="AX89" s="74">
        <f>SIM_BASE!O46</f>
        <v>3106.2650826652825</v>
      </c>
      <c r="AY89" s="98">
        <f t="shared" si="134"/>
        <v>3153.3588308435333</v>
      </c>
      <c r="AZ89" s="72">
        <f>SIM_BASE!V46</f>
        <v>-25.670645498672847</v>
      </c>
      <c r="BA89" s="72">
        <f>SIM_BASE!W46</f>
        <v>78.384134648615344</v>
      </c>
      <c r="BB89" s="72">
        <f>SIM_BASE!X46</f>
        <v>5.8853354949521064</v>
      </c>
      <c r="BC89" s="88">
        <f t="shared" si="135"/>
        <v>58.598824644894606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6"/>
        <v>3.0000000000000001E-3</v>
      </c>
      <c r="BI89" s="75">
        <f>SIM_BASE!U46</f>
        <v>-2679.1505448947141</v>
      </c>
      <c r="BJ89" s="72">
        <f t="shared" si="117"/>
        <v>-1.9999999999870113E-3</v>
      </c>
      <c r="BK89" s="72">
        <f t="shared" si="118"/>
        <v>-2.0000000000047749E-3</v>
      </c>
      <c r="BL89" s="72">
        <f t="shared" si="119"/>
        <v>-2.0000000000376375E-3</v>
      </c>
      <c r="BM89" s="88">
        <f t="shared" si="137"/>
        <v>-6.0000000000294236E-3</v>
      </c>
      <c r="BN89" s="73">
        <f t="shared" si="120"/>
        <v>-2.000000000862201E-3</v>
      </c>
      <c r="BO89" s="74">
        <f>SIM_BASE!AB46</f>
        <v>155672.41986898956</v>
      </c>
      <c r="BP89" s="74">
        <f>SIM_BASE!AC46</f>
        <v>111403.51543723755</v>
      </c>
      <c r="BQ89" s="74">
        <f>SIM_BASE!AD46</f>
        <v>97148.751981494221</v>
      </c>
      <c r="BR89" s="95">
        <f t="shared" si="138"/>
        <v>114653.02348879195</v>
      </c>
      <c r="BS89" s="75">
        <f>SIM_BASE!AE46</f>
        <v>8167.6592845710811</v>
      </c>
    </row>
    <row r="90" spans="1:71">
      <c r="A90" s="348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48">
        <v>6</v>
      </c>
      <c r="AL90" s="81">
        <v>2024</v>
      </c>
      <c r="AM90" s="81" t="s">
        <v>5</v>
      </c>
      <c r="AN90" s="74">
        <f>SIM_BASE!E53</f>
        <v>6.3507233876935167</v>
      </c>
      <c r="AO90" s="74">
        <f>SIM_BASE!F53</f>
        <v>334.93885040392695</v>
      </c>
      <c r="AP90" s="74">
        <f>SIM_BASE!G53</f>
        <v>39.919596881565766</v>
      </c>
      <c r="AQ90" s="95">
        <f t="shared" si="132"/>
        <v>381.20917067318624</v>
      </c>
      <c r="AR90" s="75">
        <f>SIM_BASE!H53</f>
        <v>500.00115177053158</v>
      </c>
      <c r="AS90" s="74">
        <f>SIM_BASE!K53</f>
        <v>31.584742074531739</v>
      </c>
      <c r="AT90" s="74">
        <f>SIM_BASE!L53</f>
        <v>247.43188666866263</v>
      </c>
      <c r="AU90" s="74">
        <f>SIM_BASE!M53</f>
        <v>33.180327385272342</v>
      </c>
      <c r="AV90" s="95">
        <f t="shared" si="133"/>
        <v>312.1969561284667</v>
      </c>
      <c r="AW90" s="74">
        <f>SIM_BASE!N53</f>
        <v>49.668407196800352</v>
      </c>
      <c r="AX90" s="74">
        <f>SIM_BASE!O53</f>
        <v>3317.82536349988</v>
      </c>
      <c r="AY90" s="98">
        <f t="shared" si="134"/>
        <v>3367.4937706966803</v>
      </c>
      <c r="AZ90" s="72">
        <f>SIM_BASE!V53</f>
        <v>-25.233018686838236</v>
      </c>
      <c r="BA90" s="72">
        <f>SIM_BASE!W53</f>
        <v>87.507963735264298</v>
      </c>
      <c r="BB90" s="72">
        <f>SIM_BASE!X53</f>
        <v>6.7402694962933838</v>
      </c>
      <c r="BC90" s="88">
        <f t="shared" si="135"/>
        <v>69.015214544719441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6"/>
        <v>3.0000000000000001E-3</v>
      </c>
      <c r="BI90" s="75">
        <f>SIM_BASE!U53</f>
        <v>-2867.4916189261489</v>
      </c>
      <c r="BJ90" s="72">
        <f t="shared" si="117"/>
        <v>-1.9999999999870113E-3</v>
      </c>
      <c r="BK90" s="72">
        <f t="shared" si="118"/>
        <v>-1.9999999999763532E-3</v>
      </c>
      <c r="BL90" s="72">
        <f t="shared" si="119"/>
        <v>-1.9999999999594778E-3</v>
      </c>
      <c r="BM90" s="88">
        <f t="shared" si="137"/>
        <v>-5.9999999999228422E-3</v>
      </c>
      <c r="BN90" s="73">
        <f t="shared" si="120"/>
        <v>-1.9999999999527063E-3</v>
      </c>
      <c r="BO90" s="74">
        <f>SIM_BASE!AB53</f>
        <v>164003.46212736194</v>
      </c>
      <c r="BP90" s="74">
        <f>SIM_BASE!AC53</f>
        <v>112822.41955744068</v>
      </c>
      <c r="BQ90" s="74">
        <f>SIM_BASE!AD53</f>
        <v>97094.630908809893</v>
      </c>
      <c r="BR90" s="95">
        <f t="shared" si="138"/>
        <v>116328.81778067705</v>
      </c>
      <c r="BS90" s="75">
        <f>SIM_BASE!AE53</f>
        <v>8436.0198635164743</v>
      </c>
    </row>
    <row r="91" spans="1:71">
      <c r="A91" s="348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48">
        <v>6</v>
      </c>
      <c r="AL91" s="81">
        <v>2025</v>
      </c>
      <c r="AM91" s="81" t="s">
        <v>5</v>
      </c>
      <c r="AN91" s="74">
        <f>SIM_BASE!E60</f>
        <v>6.5478413682503085</v>
      </c>
      <c r="AO91" s="74">
        <f>SIM_BASE!F60</f>
        <v>358.82865351527045</v>
      </c>
      <c r="AP91" s="74">
        <f>SIM_BASE!G60</f>
        <v>43.756530050023599</v>
      </c>
      <c r="AQ91" s="95">
        <f t="shared" si="132"/>
        <v>409.13302493354433</v>
      </c>
      <c r="AR91" s="75">
        <f>SIM_BASE!H60</f>
        <v>529.35980941428943</v>
      </c>
      <c r="AS91" s="74">
        <f>SIM_BASE!K60</f>
        <v>31.313602343860403</v>
      </c>
      <c r="AT91" s="74">
        <f>SIM_BASE!L60</f>
        <v>261.20116104436789</v>
      </c>
      <c r="AU91" s="74">
        <f>SIM_BASE!M60</f>
        <v>36.024864903199671</v>
      </c>
      <c r="AV91" s="95">
        <f t="shared" si="133"/>
        <v>328.53962829142796</v>
      </c>
      <c r="AW91" s="74">
        <f>SIM_BASE!N60</f>
        <v>51.990716516593437</v>
      </c>
      <c r="AX91" s="74">
        <f>SIM_BASE!O60</f>
        <v>3552.3017930934129</v>
      </c>
      <c r="AY91" s="98">
        <f t="shared" si="134"/>
        <v>3604.2925096100062</v>
      </c>
      <c r="AZ91" s="72">
        <f>SIM_BASE!V60</f>
        <v>-24.764760975610098</v>
      </c>
      <c r="BA91" s="72">
        <f>SIM_BASE!W60</f>
        <v>97.628492470902557</v>
      </c>
      <c r="BB91" s="72">
        <f>SIM_BASE!X60</f>
        <v>7.7326651468239813</v>
      </c>
      <c r="BC91" s="88">
        <f t="shared" si="135"/>
        <v>80.596396642116432</v>
      </c>
      <c r="BD91" s="73">
        <f>SIM_BASE!Y60</f>
        <v>1E-3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6"/>
        <v>3.0000000000000001E-3</v>
      </c>
      <c r="BI91" s="75">
        <f>SIM_BASE!U60</f>
        <v>-3074.931700195717</v>
      </c>
      <c r="BJ91" s="72">
        <f t="shared" si="117"/>
        <v>-1.9999999999941167E-3</v>
      </c>
      <c r="BK91" s="72">
        <f t="shared" si="118"/>
        <v>-2.0000000000047749E-3</v>
      </c>
      <c r="BL91" s="72">
        <f t="shared" si="119"/>
        <v>-2.0000000000527365E-3</v>
      </c>
      <c r="BM91" s="88">
        <f t="shared" si="137"/>
        <v>-6.0000000000516281E-3</v>
      </c>
      <c r="BN91" s="73">
        <f t="shared" si="120"/>
        <v>-2.0000000004074536E-3</v>
      </c>
      <c r="BO91" s="74">
        <f>SIM_BASE!AB60</f>
        <v>172682.09515613469</v>
      </c>
      <c r="BP91" s="74">
        <f>SIM_BASE!AC60</f>
        <v>113332.92859976654</v>
      </c>
      <c r="BQ91" s="74">
        <f>SIM_BASE!AD60</f>
        <v>96120.331743805742</v>
      </c>
      <c r="BR91" s="95">
        <f t="shared" si="138"/>
        <v>117102.1990864244</v>
      </c>
      <c r="BS91" s="75">
        <f>SIM_BASE!AE60</f>
        <v>8714.6988365883517</v>
      </c>
    </row>
    <row r="92" spans="1:71">
      <c r="A92" s="348">
        <v>6</v>
      </c>
      <c r="B92" s="81">
        <v>2026</v>
      </c>
      <c r="C92" s="81" t="s">
        <v>5</v>
      </c>
      <c r="D92" s="74">
        <v>68.448972107119843</v>
      </c>
      <c r="E92" s="74">
        <v>395.95240403491158</v>
      </c>
      <c r="F92" s="74">
        <v>48.12751572676197</v>
      </c>
      <c r="G92" s="95">
        <v>512.52889186879338</v>
      </c>
      <c r="H92" s="75">
        <v>550.7263398602496</v>
      </c>
      <c r="I92" s="74">
        <v>42.430263553166874</v>
      </c>
      <c r="J92" s="74">
        <v>306.4699987457692</v>
      </c>
      <c r="K92" s="74">
        <v>39.189337240636853</v>
      </c>
      <c r="L92" s="95">
        <v>388.08959953957293</v>
      </c>
      <c r="M92" s="74">
        <v>38.785434080700128</v>
      </c>
      <c r="N92" s="74">
        <v>3942.4732587671306</v>
      </c>
      <c r="O92" s="98">
        <v>3981.2586928478308</v>
      </c>
      <c r="P92" s="72">
        <v>26.019708553952988</v>
      </c>
      <c r="Q92" s="72">
        <v>89.483405289142354</v>
      </c>
      <c r="R92" s="72">
        <v>8.9391784861251224</v>
      </c>
      <c r="S92" s="88">
        <v>124.44229232922046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-3430.5313529875802</v>
      </c>
      <c r="Z92" s="72">
        <v>-2.0000000000189857E-3</v>
      </c>
      <c r="AA92" s="72">
        <v>-1.9999999999763532E-3</v>
      </c>
      <c r="AB92" s="72">
        <v>-2.0000000000047749E-3</v>
      </c>
      <c r="AC92" s="88">
        <v>-6.0000000000001137E-3</v>
      </c>
      <c r="AD92" s="73">
        <v>-2.0000000013169483E-3</v>
      </c>
      <c r="AE92" s="74">
        <v>121743.16326494818</v>
      </c>
      <c r="AF92" s="74">
        <v>95810.579551056057</v>
      </c>
      <c r="AG92" s="74">
        <v>90033.284928985289</v>
      </c>
      <c r="AH92" s="95">
        <v>98062.425556073882</v>
      </c>
      <c r="AI92" s="75">
        <v>8993.0644168949948</v>
      </c>
      <c r="AK92" s="348">
        <v>6</v>
      </c>
      <c r="AL92" s="81">
        <v>2026</v>
      </c>
      <c r="AM92" s="81" t="s">
        <v>5</v>
      </c>
      <c r="AN92" s="74">
        <f>SIM_BASE!E67</f>
        <v>6.7504345808372674</v>
      </c>
      <c r="AO92" s="74">
        <f>SIM_BASE!F67</f>
        <v>386.33235206742228</v>
      </c>
      <c r="AP92" s="74">
        <f>SIM_BASE!G67</f>
        <v>48.344433279033723</v>
      </c>
      <c r="AQ92" s="95">
        <f t="shared" si="132"/>
        <v>441.42721992729332</v>
      </c>
      <c r="AR92" s="75">
        <f>SIM_BASE!H67</f>
        <v>562.22192752939611</v>
      </c>
      <c r="AS92" s="74">
        <f>SIM_BASE!K67</f>
        <v>31.044035903484676</v>
      </c>
      <c r="AT92" s="74">
        <f>SIM_BASE!L67</f>
        <v>277.44004594433557</v>
      </c>
      <c r="AU92" s="74">
        <f>SIM_BASE!M67</f>
        <v>39.444735696083086</v>
      </c>
      <c r="AV92" s="95">
        <f t="shared" si="133"/>
        <v>347.92881754390328</v>
      </c>
      <c r="AW92" s="74">
        <f>SIM_BASE!N67</f>
        <v>53.944563647483577</v>
      </c>
      <c r="AX92" s="74">
        <f>SIM_BASE!O67</f>
        <v>3812.718028510586</v>
      </c>
      <c r="AY92" s="98">
        <f t="shared" si="134"/>
        <v>3866.6625921580694</v>
      </c>
      <c r="AZ92" s="72">
        <f>SIM_BASE!V67</f>
        <v>-24.292601322647414</v>
      </c>
      <c r="BA92" s="72">
        <f>SIM_BASE!W67</f>
        <v>108.89330612308656</v>
      </c>
      <c r="BB92" s="72">
        <f>SIM_BASE!X67</f>
        <v>8.900697582950615</v>
      </c>
      <c r="BC92" s="88">
        <f t="shared" si="135"/>
        <v>93.50140238338976</v>
      </c>
      <c r="BD92" s="73">
        <f>SIM_BASE!Y67</f>
        <v>1E-3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6"/>
        <v>3.0000000000000001E-3</v>
      </c>
      <c r="BI92" s="75">
        <f>SIM_BASE!U67</f>
        <v>-3304.4396646286737</v>
      </c>
      <c r="BJ92" s="72">
        <f t="shared" si="117"/>
        <v>-1.9999999999941167E-3</v>
      </c>
      <c r="BK92" s="72">
        <f t="shared" si="118"/>
        <v>-1.9999999998484555E-3</v>
      </c>
      <c r="BL92" s="72">
        <f t="shared" si="119"/>
        <v>-1.9999999999781295E-3</v>
      </c>
      <c r="BM92" s="88">
        <f t="shared" si="137"/>
        <v>-5.9999999998207017E-3</v>
      </c>
      <c r="BN92" s="73">
        <f t="shared" si="120"/>
        <v>-1.9999999999527063E-3</v>
      </c>
      <c r="BO92" s="74">
        <f>SIM_BASE!AB67</f>
        <v>181551.53293530742</v>
      </c>
      <c r="BP92" s="74">
        <f>SIM_BASE!AC67</f>
        <v>112889.55788742779</v>
      </c>
      <c r="BQ92" s="74">
        <f>SIM_BASE!AD67</f>
        <v>94242.267609663279</v>
      </c>
      <c r="BR92" s="95">
        <f t="shared" si="138"/>
        <v>116901.89406581817</v>
      </c>
      <c r="BS92" s="75">
        <f>SIM_BASE!AE67</f>
        <v>8992.1692212370799</v>
      </c>
    </row>
    <row r="93" spans="1:71">
      <c r="A93" s="348">
        <v>6</v>
      </c>
      <c r="B93" s="81">
        <v>2027</v>
      </c>
      <c r="C93" s="81" t="s">
        <v>5</v>
      </c>
      <c r="D93" s="74">
        <v>70.54628034670408</v>
      </c>
      <c r="E93" s="74">
        <v>428.6463808996719</v>
      </c>
      <c r="F93" s="74">
        <v>53.803823695283469</v>
      </c>
      <c r="G93" s="95">
        <v>552.99648494165945</v>
      </c>
      <c r="H93" s="75">
        <v>587.72146798915446</v>
      </c>
      <c r="I93" s="74">
        <v>42.104366882213426</v>
      </c>
      <c r="J93" s="74">
        <v>327.28381138014976</v>
      </c>
      <c r="K93" s="74">
        <v>43.084679827970085</v>
      </c>
      <c r="L93" s="95">
        <v>412.47285809033326</v>
      </c>
      <c r="M93" s="74">
        <v>39.731898176000691</v>
      </c>
      <c r="N93" s="74">
        <v>4230.5762904126032</v>
      </c>
      <c r="O93" s="98">
        <v>4270.308188588604</v>
      </c>
      <c r="P93" s="72">
        <v>28.442913464490637</v>
      </c>
      <c r="Q93" s="72">
        <v>101.36356951952209</v>
      </c>
      <c r="R93" s="72">
        <v>9.1918348472769171</v>
      </c>
      <c r="S93" s="88">
        <v>138.99831783128963</v>
      </c>
      <c r="T93" s="73">
        <v>1E-3</v>
      </c>
      <c r="U93" s="72">
        <v>1E-3</v>
      </c>
      <c r="V93" s="72">
        <v>1E-3</v>
      </c>
      <c r="W93" s="72">
        <v>1.5293090200364607</v>
      </c>
      <c r="X93" s="88">
        <v>1.5313090200364607</v>
      </c>
      <c r="Y93" s="75">
        <v>-3682.5857205994489</v>
      </c>
      <c r="Z93" s="72">
        <v>-1.9999999999834586E-3</v>
      </c>
      <c r="AA93" s="72">
        <v>-1.9999999999479314E-3</v>
      </c>
      <c r="AB93" s="72">
        <v>-1.9999999999933404E-3</v>
      </c>
      <c r="AC93" s="88">
        <v>-5.9999999999247305E-3</v>
      </c>
      <c r="AD93" s="73">
        <v>-2.0000000004074536E-3</v>
      </c>
      <c r="AE93" s="74">
        <v>127926.02082024826</v>
      </c>
      <c r="AF93" s="74">
        <v>94805.023761440767</v>
      </c>
      <c r="AG93" s="74">
        <v>87882.950419382221</v>
      </c>
      <c r="AH93" s="95">
        <v>97462.903610932175</v>
      </c>
      <c r="AI93" s="75">
        <v>9280.652517151997</v>
      </c>
      <c r="AK93" s="348">
        <v>6</v>
      </c>
      <c r="AL93" s="81">
        <v>2027</v>
      </c>
      <c r="AM93" s="81" t="s">
        <v>5</v>
      </c>
      <c r="AN93" s="74">
        <f>SIM_BASE!E74</f>
        <v>6.9450567121147024</v>
      </c>
      <c r="AO93" s="74">
        <f>SIM_BASE!F74</f>
        <v>418.27155086077971</v>
      </c>
      <c r="AP93" s="74">
        <f>SIM_BASE!G74</f>
        <v>53.833225476165524</v>
      </c>
      <c r="AQ93" s="95">
        <f t="shared" si="132"/>
        <v>479.04983304905994</v>
      </c>
      <c r="AR93" s="75">
        <f>SIM_BASE!H74</f>
        <v>599.54156339007818</v>
      </c>
      <c r="AS93" s="74">
        <f>SIM_BASE!K74</f>
        <v>30.855047610164597</v>
      </c>
      <c r="AT93" s="74">
        <f>SIM_BASE!L74</f>
        <v>296.25218687310314</v>
      </c>
      <c r="AU93" s="74">
        <f>SIM_BASE!M74</f>
        <v>43.557762705616973</v>
      </c>
      <c r="AV93" s="95">
        <f t="shared" si="133"/>
        <v>370.66499718888474</v>
      </c>
      <c r="AW93" s="74">
        <f>SIM_BASE!N74</f>
        <v>55.44786523878998</v>
      </c>
      <c r="AX93" s="74">
        <f>SIM_BASE!O74</f>
        <v>4102.9611629275478</v>
      </c>
      <c r="AY93" s="98">
        <f t="shared" si="134"/>
        <v>4158.4090281663375</v>
      </c>
      <c r="AZ93" s="72">
        <f>SIM_BASE!V74</f>
        <v>-23.908990898049794</v>
      </c>
      <c r="BA93" s="72">
        <f>SIM_BASE!W74</f>
        <v>122.02036398767646</v>
      </c>
      <c r="BB93" s="72">
        <f>SIM_BASE!X74</f>
        <v>10.276462770548555</v>
      </c>
      <c r="BC93" s="88">
        <f t="shared" si="135"/>
        <v>108.38783586017522</v>
      </c>
      <c r="BD93" s="73">
        <f>SIM_BASE!Y74</f>
        <v>1E-3</v>
      </c>
      <c r="BE93" s="72">
        <f>SIM_BASE!R74</f>
        <v>1E-3</v>
      </c>
      <c r="BF93" s="72">
        <f>SIM_BASE!S74</f>
        <v>1E-3</v>
      </c>
      <c r="BG93" s="72">
        <f>SIM_BASE!T74</f>
        <v>1E-3</v>
      </c>
      <c r="BH93" s="88">
        <f t="shared" si="136"/>
        <v>3.0000000000000001E-3</v>
      </c>
      <c r="BI93" s="75">
        <f>SIM_BASE!U74</f>
        <v>-3558.8664647762589</v>
      </c>
      <c r="BJ93" s="72">
        <f t="shared" si="117"/>
        <v>-2.0000000001006981E-3</v>
      </c>
      <c r="BK93" s="72">
        <f t="shared" si="118"/>
        <v>-1.999999999891088E-3</v>
      </c>
      <c r="BL93" s="72">
        <f t="shared" si="119"/>
        <v>-2.0000000000047749E-3</v>
      </c>
      <c r="BM93" s="88">
        <f t="shared" si="137"/>
        <v>-5.999999999996561E-3</v>
      </c>
      <c r="BN93" s="73">
        <f t="shared" si="120"/>
        <v>-2.000000000862201E-3</v>
      </c>
      <c r="BO93" s="74">
        <f>SIM_BASE!AB74</f>
        <v>190010.68669987388</v>
      </c>
      <c r="BP93" s="74">
        <f>SIM_BASE!AC74</f>
        <v>111613.31203127977</v>
      </c>
      <c r="BQ93" s="74">
        <f>SIM_BASE!AD74</f>
        <v>91518.11944372009</v>
      </c>
      <c r="BR93" s="95">
        <f t="shared" si="138"/>
        <v>115777.8625266484</v>
      </c>
      <c r="BS93" s="75">
        <f>SIM_BASE!AE74</f>
        <v>9279.8319701877899</v>
      </c>
    </row>
    <row r="94" spans="1:71">
      <c r="A94" s="348">
        <v>6</v>
      </c>
      <c r="B94" s="81">
        <v>2028</v>
      </c>
      <c r="C94" s="81" t="s">
        <v>5</v>
      </c>
      <c r="D94" s="74">
        <v>72.695268287389013</v>
      </c>
      <c r="E94" s="74">
        <v>466.50591507177865</v>
      </c>
      <c r="F94" s="74">
        <v>62.451166602868128</v>
      </c>
      <c r="G94" s="95">
        <v>601.65234996203583</v>
      </c>
      <c r="H94" s="75">
        <v>631.07923896193074</v>
      </c>
      <c r="I94" s="74">
        <v>41.792796969130926</v>
      </c>
      <c r="J94" s="74">
        <v>351.69259460921046</v>
      </c>
      <c r="K94" s="74">
        <v>46.224268039043942</v>
      </c>
      <c r="L94" s="95">
        <v>439.70965961738528</v>
      </c>
      <c r="M94" s="74">
        <v>41.329454645823489</v>
      </c>
      <c r="N94" s="74">
        <v>4593.8356284061829</v>
      </c>
      <c r="O94" s="98">
        <v>4635.1650830520066</v>
      </c>
      <c r="P94" s="72">
        <v>30.903471318258088</v>
      </c>
      <c r="Q94" s="72">
        <v>114.8143204625687</v>
      </c>
      <c r="R94" s="72">
        <v>1.2712051574464074</v>
      </c>
      <c r="S94" s="88">
        <v>146.9889969382732</v>
      </c>
      <c r="T94" s="73">
        <v>1E-3</v>
      </c>
      <c r="U94" s="72">
        <v>1E-3</v>
      </c>
      <c r="V94" s="72">
        <v>1E-3</v>
      </c>
      <c r="W94" s="72">
        <v>14.957693406377771</v>
      </c>
      <c r="X94" s="88">
        <v>14.959693406377772</v>
      </c>
      <c r="Y94" s="75">
        <v>-4004.0848440900745</v>
      </c>
      <c r="Z94" s="72">
        <v>-2.0000000000012222E-3</v>
      </c>
      <c r="AA94" s="72">
        <v>-2.0000000005163656E-3</v>
      </c>
      <c r="AB94" s="72">
        <v>-1.9999999999935625E-3</v>
      </c>
      <c r="AC94" s="88">
        <v>-6.0000000005111503E-3</v>
      </c>
      <c r="AD94" s="73">
        <v>-2.0000000013169483E-3</v>
      </c>
      <c r="AE94" s="74">
        <v>134427.00999087302</v>
      </c>
      <c r="AF94" s="74">
        <v>93346.018854326147</v>
      </c>
      <c r="AG94" s="74">
        <v>88284.367452216713</v>
      </c>
      <c r="AH94" s="95">
        <v>96718.513313555071</v>
      </c>
      <c r="AI94" s="75">
        <v>9578.7694104576949</v>
      </c>
      <c r="AK94" s="348">
        <v>6</v>
      </c>
      <c r="AL94" s="81">
        <v>2028</v>
      </c>
      <c r="AM94" s="81" t="s">
        <v>5</v>
      </c>
      <c r="AN94" s="74">
        <f>SIM_BASE!E81</f>
        <v>7.1583846793386687</v>
      </c>
      <c r="AO94" s="74">
        <f>SIM_BASE!F81</f>
        <v>455.21579496039988</v>
      </c>
      <c r="AP94" s="74">
        <f>SIM_BASE!G81</f>
        <v>60.555937495047651</v>
      </c>
      <c r="AQ94" s="95">
        <f t="shared" si="132"/>
        <v>522.9301171347862</v>
      </c>
      <c r="AR94" s="75">
        <f>SIM_BASE!H81</f>
        <v>642.21656265841352</v>
      </c>
      <c r="AS94" s="74">
        <f>SIM_BASE!K81</f>
        <v>30.591647499980446</v>
      </c>
      <c r="AT94" s="74">
        <f>SIM_BASE!L81</f>
        <v>318.20083748075115</v>
      </c>
      <c r="AU94" s="74">
        <f>SIM_BASE!M81</f>
        <v>48.38576269272199</v>
      </c>
      <c r="AV94" s="95">
        <f t="shared" si="133"/>
        <v>397.1782476734536</v>
      </c>
      <c r="AW94" s="74">
        <f>SIM_BASE!N81</f>
        <v>56.499955975807552</v>
      </c>
      <c r="AX94" s="74">
        <f>SIM_BASE!O81</f>
        <v>4432.7569232115975</v>
      </c>
      <c r="AY94" s="98">
        <f t="shared" si="134"/>
        <v>4489.2568791874055</v>
      </c>
      <c r="AZ94" s="72">
        <f>SIM_BASE!V81</f>
        <v>-23.43226282064176</v>
      </c>
      <c r="BA94" s="72">
        <f>SIM_BASE!W81</f>
        <v>137.01595747964862</v>
      </c>
      <c r="BB94" s="72">
        <f>SIM_BASE!X81</f>
        <v>11.190234873995466</v>
      </c>
      <c r="BC94" s="88">
        <f t="shared" si="135"/>
        <v>124.77392953300232</v>
      </c>
      <c r="BD94" s="73">
        <f>SIM_BASE!Y81</f>
        <v>1E-3</v>
      </c>
      <c r="BE94" s="72">
        <f>SIM_BASE!R81</f>
        <v>1E-3</v>
      </c>
      <c r="BF94" s="72">
        <f>SIM_BASE!S81</f>
        <v>1E-3</v>
      </c>
      <c r="BG94" s="72">
        <f>SIM_BASE!T81</f>
        <v>0.98193992833018962</v>
      </c>
      <c r="BH94" s="88">
        <f t="shared" si="136"/>
        <v>0.98393992833018962</v>
      </c>
      <c r="BI94" s="75">
        <f>SIM_BASE!U81</f>
        <v>-3847.0393165289915</v>
      </c>
      <c r="BJ94" s="72">
        <f t="shared" si="117"/>
        <v>-2.0000000000189857E-3</v>
      </c>
      <c r="BK94" s="72">
        <f t="shared" si="118"/>
        <v>-1.999999999891088E-3</v>
      </c>
      <c r="BL94" s="72">
        <f t="shared" si="119"/>
        <v>-1.9999999999947837E-3</v>
      </c>
      <c r="BM94" s="88">
        <f t="shared" si="137"/>
        <v>-5.9999999999048575E-3</v>
      </c>
      <c r="BN94" s="73">
        <f t="shared" si="120"/>
        <v>-2.0000000004074536E-3</v>
      </c>
      <c r="BO94" s="74">
        <f>SIM_BASE!AB81</f>
        <v>199405.03691351227</v>
      </c>
      <c r="BP94" s="74">
        <f>SIM_BASE!AC81</f>
        <v>109532.01680444904</v>
      </c>
      <c r="BQ94" s="74">
        <f>SIM_BASE!AD81</f>
        <v>88284.367452216684</v>
      </c>
      <c r="BR94" s="95">
        <f t="shared" si="138"/>
        <v>113865.78896262376</v>
      </c>
      <c r="BS94" s="75">
        <f>SIM_BASE!AE81</f>
        <v>9578.054221682507</v>
      </c>
    </row>
    <row r="95" spans="1:71">
      <c r="A95" s="496">
        <v>6</v>
      </c>
      <c r="B95" s="81">
        <v>2029</v>
      </c>
      <c r="C95" s="81" t="s">
        <v>5</v>
      </c>
      <c r="D95" s="74">
        <v>74.880067892673267</v>
      </c>
      <c r="E95" s="74">
        <v>510.06363253690097</v>
      </c>
      <c r="F95" s="74">
        <v>73.591988395233287</v>
      </c>
      <c r="G95" s="95">
        <v>658.53568882480761</v>
      </c>
      <c r="H95" s="75">
        <v>680.75985712359852</v>
      </c>
      <c r="I95" s="74">
        <v>41.501301893092766</v>
      </c>
      <c r="J95" s="74">
        <v>380.41702188284182</v>
      </c>
      <c r="K95" s="74">
        <v>49.613602230580987</v>
      </c>
      <c r="L95" s="95">
        <v>471.53192600651556</v>
      </c>
      <c r="M95" s="74">
        <v>42.836651672977581</v>
      </c>
      <c r="N95" s="74">
        <v>5011.2485709054372</v>
      </c>
      <c r="O95" s="98">
        <v>5054.0852225784147</v>
      </c>
      <c r="P95" s="72">
        <v>33.379765999580684</v>
      </c>
      <c r="Q95" s="72">
        <v>129.64761065405938</v>
      </c>
      <c r="R95" s="72">
        <v>0.21014315174207374</v>
      </c>
      <c r="S95" s="88">
        <v>163.23751980538214</v>
      </c>
      <c r="T95" s="73">
        <v>1E-3</v>
      </c>
      <c r="U95" s="72">
        <v>1E-3</v>
      </c>
      <c r="V95" s="72">
        <v>1E-3</v>
      </c>
      <c r="W95" s="72">
        <v>23.770243012910228</v>
      </c>
      <c r="X95" s="88">
        <v>23.772243012910227</v>
      </c>
      <c r="Y95" s="75">
        <v>-4373.324365454816</v>
      </c>
      <c r="Z95" s="72">
        <v>-2.0000000001824106E-3</v>
      </c>
      <c r="AA95" s="72">
        <v>-2.0000000002321485E-3</v>
      </c>
      <c r="AB95" s="72">
        <v>-2.0000000000024443E-3</v>
      </c>
      <c r="AC95" s="88">
        <v>-6.0000000004170034E-3</v>
      </c>
      <c r="AD95" s="73">
        <v>-2.0000000004074536E-3</v>
      </c>
      <c r="AE95" s="74">
        <v>141089.29058949946</v>
      </c>
      <c r="AF95" s="74">
        <v>91172.71233264498</v>
      </c>
      <c r="AG95" s="74">
        <v>88657.255283200939</v>
      </c>
      <c r="AH95" s="95">
        <v>95301.387382744942</v>
      </c>
      <c r="AI95" s="75">
        <v>9887.8528762456863</v>
      </c>
      <c r="AK95" s="496">
        <v>6</v>
      </c>
      <c r="AL95" s="81">
        <v>2029</v>
      </c>
      <c r="AM95" s="81" t="s">
        <v>5</v>
      </c>
      <c r="AN95" s="74">
        <f>SIM_BASE!E88</f>
        <v>7.3807811893543516</v>
      </c>
      <c r="AO95" s="74">
        <f>SIM_BASE!F88</f>
        <v>498.14111781197187</v>
      </c>
      <c r="AP95" s="74">
        <f>SIM_BASE!G88</f>
        <v>71.364412866437419</v>
      </c>
      <c r="AQ95" s="95">
        <f t="shared" si="132"/>
        <v>576.88631186776365</v>
      </c>
      <c r="AR95" s="75">
        <f>SIM_BASE!H88</f>
        <v>692.79055692727513</v>
      </c>
      <c r="AS95" s="74">
        <f>SIM_BASE!K88</f>
        <v>30.328180763670009</v>
      </c>
      <c r="AT95" s="74">
        <f>SIM_BASE!L88</f>
        <v>343.92006010106081</v>
      </c>
      <c r="AU95" s="74">
        <f>SIM_BASE!M88</f>
        <v>51.92875319064067</v>
      </c>
      <c r="AV95" s="95">
        <f t="shared" si="133"/>
        <v>426.17699405537149</v>
      </c>
      <c r="AW95" s="74">
        <f>SIM_BASE!N88</f>
        <v>58.821535537845072</v>
      </c>
      <c r="AX95" s="74">
        <f>SIM_BASE!O88</f>
        <v>4870.1432746333257</v>
      </c>
      <c r="AY95" s="98">
        <f t="shared" si="134"/>
        <v>4928.9648101711709</v>
      </c>
      <c r="AZ95" s="72">
        <f>SIM_BASE!V88</f>
        <v>-22.946399574315659</v>
      </c>
      <c r="BA95" s="72">
        <f>SIM_BASE!W88</f>
        <v>154.22205771091089</v>
      </c>
      <c r="BB95" s="72">
        <f>SIM_BASE!X88</f>
        <v>0.36532886623134675</v>
      </c>
      <c r="BC95" s="88">
        <f t="shared" si="135"/>
        <v>131.64098700282659</v>
      </c>
      <c r="BD95" s="73">
        <f>SIM_BASE!Y88</f>
        <v>1E-3</v>
      </c>
      <c r="BE95" s="72">
        <f>SIM_BASE!R88</f>
        <v>1E-3</v>
      </c>
      <c r="BF95" s="72">
        <f>SIM_BASE!S88</f>
        <v>1E-3</v>
      </c>
      <c r="BG95" s="72">
        <f>SIM_BASE!T88</f>
        <v>19.07233080956539</v>
      </c>
      <c r="BH95" s="88">
        <f t="shared" si="136"/>
        <v>19.074330809565389</v>
      </c>
      <c r="BI95" s="75">
        <f>SIM_BASE!U88</f>
        <v>-4236.1732532438964</v>
      </c>
      <c r="BJ95" s="72">
        <f t="shared" si="117"/>
        <v>-1.9999999999976694E-3</v>
      </c>
      <c r="BK95" s="72">
        <f t="shared" si="118"/>
        <v>-1.9999999998342446E-3</v>
      </c>
      <c r="BL95" s="72">
        <f t="shared" si="119"/>
        <v>-1.9999999999882334E-3</v>
      </c>
      <c r="BM95" s="88">
        <f t="shared" si="137"/>
        <v>-5.9999999998201475E-3</v>
      </c>
      <c r="BN95" s="73">
        <f t="shared" si="120"/>
        <v>-1.9999999994979589E-3</v>
      </c>
      <c r="BO95" s="74">
        <f>SIM_BASE!AB88</f>
        <v>209740.59673905108</v>
      </c>
      <c r="BP95" s="74">
        <f>SIM_BASE!AC88</f>
        <v>107083.82979981005</v>
      </c>
      <c r="BQ95" s="74">
        <f>SIM_BASE!AD88</f>
        <v>88657.255283200968</v>
      </c>
      <c r="BR95" s="95">
        <f t="shared" si="138"/>
        <v>112143.99018905226</v>
      </c>
      <c r="BS95" s="75">
        <f>SIM_BASE!AE88</f>
        <v>9887.1920814291916</v>
      </c>
    </row>
    <row r="96" spans="1:71" ht="17" thickBot="1">
      <c r="A96" s="382">
        <v>6</v>
      </c>
      <c r="B96" s="82">
        <v>2030</v>
      </c>
      <c r="C96" s="82" t="s">
        <v>5</v>
      </c>
      <c r="D96" s="78">
        <v>255.15970181182885</v>
      </c>
      <c r="E96" s="78">
        <v>196.51275576717563</v>
      </c>
      <c r="F96" s="78">
        <v>25.328554819878939</v>
      </c>
      <c r="G96" s="96">
        <v>477.0010123988834</v>
      </c>
      <c r="H96" s="79">
        <v>293.26243228526175</v>
      </c>
      <c r="I96" s="78">
        <v>301.54189782668163</v>
      </c>
      <c r="J96" s="78">
        <v>232.44212796060521</v>
      </c>
      <c r="K96" s="78">
        <v>23.073820660577077</v>
      </c>
      <c r="L96" s="96">
        <v>557.05784644786388</v>
      </c>
      <c r="M96" s="78">
        <v>39.090208048559944</v>
      </c>
      <c r="N96" s="78">
        <v>2991.2933511117317</v>
      </c>
      <c r="O96" s="99">
        <v>3030.3835591602915</v>
      </c>
      <c r="P96" s="76">
        <v>-46.381196014852691</v>
      </c>
      <c r="Q96" s="76">
        <v>-35.928372193429567</v>
      </c>
      <c r="R96" s="76">
        <v>-0.20814315174207373</v>
      </c>
      <c r="S96" s="89">
        <v>-82.517711360024336</v>
      </c>
      <c r="T96" s="77">
        <v>1E-3</v>
      </c>
      <c r="U96" s="76">
        <v>1E-3</v>
      </c>
      <c r="V96" s="76">
        <v>1E-3</v>
      </c>
      <c r="W96" s="76">
        <v>2.4648773110439319</v>
      </c>
      <c r="X96" s="89">
        <v>2.4668773110439317</v>
      </c>
      <c r="Y96" s="79">
        <v>-2737.1201268750297</v>
      </c>
      <c r="Z96" s="72">
        <v>-2.00000000009004E-3</v>
      </c>
      <c r="AA96" s="72">
        <v>-2.0000000000047749E-3</v>
      </c>
      <c r="AB96" s="72">
        <v>-1.9999999999966711E-3</v>
      </c>
      <c r="AC96" s="88">
        <v>-6.000000000091486E-3</v>
      </c>
      <c r="AD96" s="73">
        <v>-2.0000000004074536E-3</v>
      </c>
      <c r="AE96" s="78">
        <v>141149.28696379837</v>
      </c>
      <c r="AF96" s="78">
        <v>90262.384019026591</v>
      </c>
      <c r="AG96" s="78">
        <v>88670.370347473698</v>
      </c>
      <c r="AH96" s="96">
        <v>117742.114442274</v>
      </c>
      <c r="AI96" s="79">
        <v>9880.8520065929843</v>
      </c>
      <c r="AK96" s="382">
        <v>6</v>
      </c>
      <c r="AL96" s="82">
        <v>2030</v>
      </c>
      <c r="AM96" s="82" t="s">
        <v>5</v>
      </c>
      <c r="AN96" s="74">
        <f>SIM_BASE!E89</f>
        <v>196.5813552619918</v>
      </c>
      <c r="AO96" s="74">
        <f>SIM_BASE!F89</f>
        <v>196.68811366389698</v>
      </c>
      <c r="AP96" s="74">
        <f>SIM_BASE!G89</f>
        <v>24.569785811268556</v>
      </c>
      <c r="AQ96" s="95">
        <f t="shared" ref="AQ96" si="139">SUM(AN96:AP96)</f>
        <v>417.83925473715732</v>
      </c>
      <c r="AR96" s="75">
        <f>SIM_BASE!H89</f>
        <v>298.33047463307639</v>
      </c>
      <c r="AS96" s="74">
        <f>SIM_BASE!K89</f>
        <v>214.32309039763018</v>
      </c>
      <c r="AT96" s="74">
        <f>SIM_BASE!L89</f>
        <v>209.20916106984942</v>
      </c>
      <c r="AU96" s="74">
        <f>SIM_BASE!M89</f>
        <v>24.102343138410429</v>
      </c>
      <c r="AV96" s="95">
        <f t="shared" ref="AV96" si="140">SUM(AS96:AU96)</f>
        <v>447.63459460589002</v>
      </c>
      <c r="AW96" s="74">
        <f>SIM_BASE!N89</f>
        <v>39.432180618089156</v>
      </c>
      <c r="AX96" s="74">
        <f>SIM_BASE!O89</f>
        <v>2910.0710532368912</v>
      </c>
      <c r="AY96" s="98">
        <f t="shared" ref="AY96" si="141">SUM(AW96:AX96)</f>
        <v>2949.5032338549804</v>
      </c>
      <c r="AZ96" s="72">
        <f>SIM_BASE!V89</f>
        <v>-17.740735135638456</v>
      </c>
      <c r="BA96" s="72">
        <f>SIM_BASE!W89</f>
        <v>-12.52004740595248</v>
      </c>
      <c r="BB96" s="72">
        <f>SIM_BASE!X89</f>
        <v>-0.26245463580900324</v>
      </c>
      <c r="BC96" s="88">
        <f t="shared" ref="BC96" si="142">SUM(AZ96:BB96)</f>
        <v>-30.523237177399938</v>
      </c>
      <c r="BD96" s="73">
        <f>SIM_BASE!Y89</f>
        <v>1E-3</v>
      </c>
      <c r="BE96" s="72">
        <f>SIM_BASE!R89</f>
        <v>1E-3</v>
      </c>
      <c r="BF96" s="72">
        <f>SIM_BASE!S89</f>
        <v>1E-3</v>
      </c>
      <c r="BG96" s="72">
        <f>SIM_BASE!T89</f>
        <v>0.73189730866712677</v>
      </c>
      <c r="BH96" s="88">
        <f t="shared" ref="BH96" si="143">SUM(BE96:BG96)</f>
        <v>0.73389730866712677</v>
      </c>
      <c r="BI96" s="75">
        <f>SIM_BASE!U89</f>
        <v>-2651.1717592219034</v>
      </c>
      <c r="BJ96" s="72">
        <f t="shared" ref="BJ96" si="144">AN96-AS96-AZ96-BE96</f>
        <v>-1.9999999999230625E-3</v>
      </c>
      <c r="BK96" s="72">
        <f t="shared" ref="BK96" si="145">AO96-AT96-BA96-BF96</f>
        <v>-1.9999999999497078E-3</v>
      </c>
      <c r="BL96" s="72">
        <f t="shared" ref="BL96" si="146">AP96-AU96-BB96-BG96</f>
        <v>-1.9999999999968932E-3</v>
      </c>
      <c r="BM96" s="88">
        <f t="shared" ref="BM96" si="147">SUM(BJ96:BL96)</f>
        <v>-5.9999999998696634E-3</v>
      </c>
      <c r="BN96" s="73">
        <f t="shared" ref="BN96" si="148">AR96-AW96-AX96-BD96-BI96</f>
        <v>-2.000000000862201E-3</v>
      </c>
      <c r="BO96" s="74">
        <f>SIM_BASE!AB89</f>
        <v>209358.62190201695</v>
      </c>
      <c r="BP96" s="74">
        <f>SIM_BASE!AC89</f>
        <v>105829.02805022162</v>
      </c>
      <c r="BQ96" s="74">
        <f>SIM_BASE!AD89</f>
        <v>88670.509358023744</v>
      </c>
      <c r="BR96" s="95">
        <f t="shared" ref="BR96" si="149">SUMPRODUCT(BO96:BQ96,AS96:AU96)/AV96</f>
        <v>154474.11102427906</v>
      </c>
      <c r="BS96" s="75">
        <f>SIM_BASE!AE89</f>
        <v>9880.8607393541115</v>
      </c>
    </row>
    <row r="97" spans="1:71">
      <c r="A97" s="347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47">
        <v>7</v>
      </c>
      <c r="AL97" s="80">
        <v>2018</v>
      </c>
      <c r="AM97" s="80" t="s">
        <v>6</v>
      </c>
      <c r="AN97" s="165">
        <f>SIM_BASE!E12</f>
        <v>183.8067391597861</v>
      </c>
      <c r="AO97" s="70">
        <f>SIM_BASE!F12</f>
        <v>97.454661093996691</v>
      </c>
      <c r="AP97" s="70">
        <f>SIM_BASE!G12</f>
        <v>9.4373695369141881</v>
      </c>
      <c r="AQ97" s="94">
        <f t="shared" si="132"/>
        <v>290.69876979069693</v>
      </c>
      <c r="AR97" s="71">
        <f>SIM_BASE!H12</f>
        <v>164.06058957423608</v>
      </c>
      <c r="AS97" s="70">
        <f>SIM_BASE!K12</f>
        <v>200.03376279282222</v>
      </c>
      <c r="AT97" s="70">
        <f>SIM_BASE!L12</f>
        <v>112.99485848490889</v>
      </c>
      <c r="AU97" s="70">
        <f>SIM_BASE!M12</f>
        <v>10.761976764971555</v>
      </c>
      <c r="AV97" s="94">
        <f t="shared" si="133"/>
        <v>323.79059804270264</v>
      </c>
      <c r="AW97" s="70">
        <f>SIM_BASE!N12</f>
        <v>28.592643368601252</v>
      </c>
      <c r="AX97" s="70">
        <f>SIM_BASE!O12</f>
        <v>1750.0622792807349</v>
      </c>
      <c r="AY97" s="97">
        <f t="shared" si="134"/>
        <v>1778.6549226493362</v>
      </c>
      <c r="AZ97" s="68">
        <f>SIM_BASE!V12</f>
        <v>-16.226023633036213</v>
      </c>
      <c r="BA97" s="68">
        <f>SIM_BASE!W12</f>
        <v>-15.539197390912195</v>
      </c>
      <c r="BB97" s="68">
        <f>SIM_BASE!X12</f>
        <v>-1.3236072280573694</v>
      </c>
      <c r="BC97" s="87">
        <f t="shared" si="135"/>
        <v>-33.088828252005776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6"/>
        <v>3.0000000000000001E-3</v>
      </c>
      <c r="BI97" s="71">
        <f>SIM_BASE!U12</f>
        <v>-1614.5933330751002</v>
      </c>
      <c r="BJ97" s="68">
        <f t="shared" si="117"/>
        <v>-1.9999999998981935E-3</v>
      </c>
      <c r="BK97" s="68">
        <f t="shared" si="118"/>
        <v>-2.0000000000029985E-3</v>
      </c>
      <c r="BL97" s="68">
        <f t="shared" si="119"/>
        <v>-1.9999999999976694E-3</v>
      </c>
      <c r="BM97" s="87">
        <f t="shared" si="137"/>
        <v>-5.9999999998988614E-3</v>
      </c>
      <c r="BN97" s="69">
        <f t="shared" si="120"/>
        <v>-1.9999999997253326E-3</v>
      </c>
      <c r="BO97" s="70">
        <f>SIM_BASE!AB12</f>
        <v>80365.71238316677</v>
      </c>
      <c r="BP97" s="70">
        <f>SIM_BASE!AC12</f>
        <v>79191.634973012202</v>
      </c>
      <c r="BQ97" s="70">
        <f>SIM_BASE!AD12</f>
        <v>82110.303847000017</v>
      </c>
      <c r="BR97" s="94">
        <f t="shared" si="138"/>
        <v>80013.97438119557</v>
      </c>
      <c r="BS97" s="71">
        <f>SIM_BASE!AE12</f>
        <v>6862.6360620016167</v>
      </c>
    </row>
    <row r="98" spans="1:71">
      <c r="A98" s="348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48">
        <v>7</v>
      </c>
      <c r="AL98" s="81">
        <v>2019</v>
      </c>
      <c r="AM98" s="81" t="s">
        <v>6</v>
      </c>
      <c r="AN98" s="167">
        <f>SIM_BASE!E19</f>
        <v>138.70850325758119</v>
      </c>
      <c r="AO98" s="74">
        <f>SIM_BASE!F19</f>
        <v>91.474429510957933</v>
      </c>
      <c r="AP98" s="74">
        <f>SIM_BASE!G19</f>
        <v>10.251169962575135</v>
      </c>
      <c r="AQ98" s="95">
        <f t="shared" si="132"/>
        <v>240.43410273111425</v>
      </c>
      <c r="AR98" s="75">
        <f>SIM_BASE!H19</f>
        <v>170.47301319679659</v>
      </c>
      <c r="AS98" s="74">
        <f>SIM_BASE!K19</f>
        <v>127.78183626811779</v>
      </c>
      <c r="AT98" s="74">
        <f>SIM_BASE!L19</f>
        <v>95.924556369856631</v>
      </c>
      <c r="AU98" s="74">
        <f>SIM_BASE!M19</f>
        <v>11.806332929696831</v>
      </c>
      <c r="AV98" s="95">
        <f t="shared" si="133"/>
        <v>235.51272556767125</v>
      </c>
      <c r="AW98" s="74">
        <f>SIM_BASE!N19</f>
        <v>29.068207925439669</v>
      </c>
      <c r="AX98" s="74">
        <f>SIM_BASE!O19</f>
        <v>1578.2202724810707</v>
      </c>
      <c r="AY98" s="98">
        <f t="shared" si="134"/>
        <v>1607.2884804065104</v>
      </c>
      <c r="AZ98" s="72">
        <f>SIM_BASE!V19</f>
        <v>10.927666989463415</v>
      </c>
      <c r="BA98" s="72">
        <f>SIM_BASE!W19</f>
        <v>-4.4491268588987136</v>
      </c>
      <c r="BB98" s="72">
        <f>SIM_BASE!X19</f>
        <v>-1.5541629671216934</v>
      </c>
      <c r="BC98" s="88">
        <f t="shared" si="135"/>
        <v>4.9243771634430074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6"/>
        <v>3.0000000000000001E-3</v>
      </c>
      <c r="BI98" s="75">
        <f>SIM_BASE!U19</f>
        <v>-1436.8144672097139</v>
      </c>
      <c r="BJ98" s="72">
        <f t="shared" si="117"/>
        <v>-2.000000000015433E-3</v>
      </c>
      <c r="BK98" s="72">
        <f t="shared" si="118"/>
        <v>-1.9999999999852349E-3</v>
      </c>
      <c r="BL98" s="72">
        <f t="shared" si="119"/>
        <v>-2.0000000000023324E-3</v>
      </c>
      <c r="BM98" s="88">
        <f t="shared" si="137"/>
        <v>-6.0000000000030003E-3</v>
      </c>
      <c r="BN98" s="73">
        <f t="shared" si="120"/>
        <v>-1.9999999997253326E-3</v>
      </c>
      <c r="BO98" s="74">
        <f>SIM_BASE!AB19</f>
        <v>114709.04915802437</v>
      </c>
      <c r="BP98" s="74">
        <f>SIM_BASE!AC19</f>
        <v>83658.274626234517</v>
      </c>
      <c r="BQ98" s="74">
        <f>SIM_BASE!AD19</f>
        <v>92309.544706644461</v>
      </c>
      <c r="BR98" s="95">
        <f t="shared" si="138"/>
        <v>100939.1444910947</v>
      </c>
      <c r="BS98" s="75">
        <f>SIM_BASE!AE19</f>
        <v>7163.7069264242691</v>
      </c>
    </row>
    <row r="99" spans="1:71">
      <c r="A99" s="348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48">
        <v>7</v>
      </c>
      <c r="AL99" s="81">
        <v>2020</v>
      </c>
      <c r="AM99" s="81" t="s">
        <v>6</v>
      </c>
      <c r="AN99" s="167">
        <f>SIM_BASE!E26</f>
        <v>150.17043735819405</v>
      </c>
      <c r="AO99" s="74">
        <f>SIM_BASE!F26</f>
        <v>106.02349868231809</v>
      </c>
      <c r="AP99" s="74">
        <f>SIM_BASE!G26</f>
        <v>10.330725884655466</v>
      </c>
      <c r="AQ99" s="95">
        <f t="shared" si="132"/>
        <v>266.52466192516761</v>
      </c>
      <c r="AR99" s="75">
        <f>SIM_BASE!H26</f>
        <v>177.93136131218012</v>
      </c>
      <c r="AS99" s="74">
        <f>SIM_BASE!K26</f>
        <v>154.62187795031429</v>
      </c>
      <c r="AT99" s="74">
        <f>SIM_BASE!L26</f>
        <v>109.85831165824959</v>
      </c>
      <c r="AU99" s="74">
        <f>SIM_BASE!M26</f>
        <v>11.803124320505313</v>
      </c>
      <c r="AV99" s="95">
        <f t="shared" si="133"/>
        <v>276.28331392906921</v>
      </c>
      <c r="AW99" s="74">
        <f>SIM_BASE!N26</f>
        <v>30.048631217487035</v>
      </c>
      <c r="AX99" s="74">
        <f>SIM_BASE!O26</f>
        <v>1837.3229820727634</v>
      </c>
      <c r="AY99" s="98">
        <f t="shared" si="134"/>
        <v>1867.3716132902505</v>
      </c>
      <c r="AZ99" s="72">
        <f>SIM_BASE!V26</f>
        <v>-4.4504405921202306</v>
      </c>
      <c r="BA99" s="72">
        <f>SIM_BASE!W26</f>
        <v>-3.8338129759314903</v>
      </c>
      <c r="BB99" s="72">
        <f>SIM_BASE!X26</f>
        <v>-1.4713984358498471</v>
      </c>
      <c r="BC99" s="88">
        <f t="shared" si="135"/>
        <v>-9.7556520039015684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6"/>
        <v>3.0000000000000001E-3</v>
      </c>
      <c r="BI99" s="75">
        <f>SIM_BASE!U26</f>
        <v>-1689.4392519780704</v>
      </c>
      <c r="BJ99" s="72">
        <f t="shared" si="117"/>
        <v>-2.0000000000047749E-3</v>
      </c>
      <c r="BK99" s="72">
        <f t="shared" si="118"/>
        <v>-2.0000000000083276E-3</v>
      </c>
      <c r="BL99" s="72">
        <f t="shared" si="119"/>
        <v>-1.9999999999998899E-3</v>
      </c>
      <c r="BM99" s="88">
        <f t="shared" si="137"/>
        <v>-6.0000000000129923E-3</v>
      </c>
      <c r="BN99" s="73">
        <f t="shared" si="120"/>
        <v>-1.9999999999527063E-3</v>
      </c>
      <c r="BO99" s="74">
        <f>SIM_BASE!AB26</f>
        <v>132709.1286214201</v>
      </c>
      <c r="BP99" s="74">
        <f>SIM_BASE!AC26</f>
        <v>102443.73787619323</v>
      </c>
      <c r="BQ99" s="74">
        <f>SIM_BASE!AD26</f>
        <v>92252.255373568434</v>
      </c>
      <c r="BR99" s="95">
        <f t="shared" si="138"/>
        <v>118946.36394542029</v>
      </c>
      <c r="BS99" s="75">
        <f>SIM_BASE!AE26</f>
        <v>7382.1630283707509</v>
      </c>
    </row>
    <row r="100" spans="1:71">
      <c r="A100" s="348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48">
        <v>7</v>
      </c>
      <c r="AL100" s="81">
        <v>2021</v>
      </c>
      <c r="AM100" s="81" t="s">
        <v>6</v>
      </c>
      <c r="AN100" s="167">
        <f>SIM_BASE!E33</f>
        <v>154.64965299635747</v>
      </c>
      <c r="AO100" s="74">
        <f>SIM_BASE!F33</f>
        <v>111.12903479521083</v>
      </c>
      <c r="AP100" s="74">
        <f>SIM_BASE!G33</f>
        <v>10.974537946995106</v>
      </c>
      <c r="AQ100" s="95">
        <f t="shared" si="132"/>
        <v>276.7532257385634</v>
      </c>
      <c r="AR100" s="75">
        <f>SIM_BASE!H33</f>
        <v>185.57092646754307</v>
      </c>
      <c r="AS100" s="74">
        <f>SIM_BASE!K33</f>
        <v>160.60382066871762</v>
      </c>
      <c r="AT100" s="74">
        <f>SIM_BASE!L33</f>
        <v>115.32245450893754</v>
      </c>
      <c r="AU100" s="74">
        <f>SIM_BASE!M33</f>
        <v>12.404869519211989</v>
      </c>
      <c r="AV100" s="95">
        <f t="shared" si="133"/>
        <v>288.33114469686717</v>
      </c>
      <c r="AW100" s="74">
        <f>SIM_BASE!N33</f>
        <v>30.937139036021641</v>
      </c>
      <c r="AX100" s="74">
        <f>SIM_BASE!O33</f>
        <v>1925.5138942656945</v>
      </c>
      <c r="AY100" s="98">
        <f t="shared" si="134"/>
        <v>1956.4510333017161</v>
      </c>
      <c r="AZ100" s="72">
        <f>SIM_BASE!V33</f>
        <v>-5.9531676723601743</v>
      </c>
      <c r="BA100" s="72">
        <f>SIM_BASE!W33</f>
        <v>-4.1924197137267081</v>
      </c>
      <c r="BB100" s="72">
        <f>SIM_BASE!X33</f>
        <v>-1.4293315722168816</v>
      </c>
      <c r="BC100" s="88">
        <f t="shared" si="135"/>
        <v>-11.574918958303764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6"/>
        <v>3.0000000000000001E-3</v>
      </c>
      <c r="BI100" s="75">
        <f>SIM_BASE!U33</f>
        <v>-1770.8791068341734</v>
      </c>
      <c r="BJ100" s="72">
        <f t="shared" si="117"/>
        <v>-1.9999999999683596E-3</v>
      </c>
      <c r="BK100" s="72">
        <f t="shared" si="118"/>
        <v>-2.0000000000038867E-3</v>
      </c>
      <c r="BL100" s="72">
        <f t="shared" si="119"/>
        <v>-2.0000000000010001E-3</v>
      </c>
      <c r="BM100" s="88">
        <f t="shared" si="137"/>
        <v>-5.9999999999732464E-3</v>
      </c>
      <c r="BN100" s="73">
        <f t="shared" si="120"/>
        <v>-1.9999999997253326E-3</v>
      </c>
      <c r="BO100" s="74">
        <f>SIM_BASE!AB33</f>
        <v>140088.24919687954</v>
      </c>
      <c r="BP100" s="74">
        <f>SIM_BASE!AC33</f>
        <v>105900.61320326832</v>
      </c>
      <c r="BQ100" s="74">
        <f>SIM_BASE!AD33</f>
        <v>94882.637189278306</v>
      </c>
      <c r="BR100" s="95">
        <f t="shared" si="138"/>
        <v>124469.50006776162</v>
      </c>
      <c r="BS100" s="75">
        <f>SIM_BASE!AE33</f>
        <v>7638.2012672831406</v>
      </c>
    </row>
    <row r="101" spans="1:71">
      <c r="A101" s="348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48">
        <v>7</v>
      </c>
      <c r="AL101" s="81">
        <v>2022</v>
      </c>
      <c r="AM101" s="81" t="s">
        <v>6</v>
      </c>
      <c r="AN101" s="167">
        <f>SIM_BASE!E40</f>
        <v>159.27383622226785</v>
      </c>
      <c r="AO101" s="74">
        <f>SIM_BASE!F40</f>
        <v>117.16598185834802</v>
      </c>
      <c r="AP101" s="74">
        <f>SIM_BASE!G40</f>
        <v>11.747982320905971</v>
      </c>
      <c r="AQ101" s="95">
        <f t="shared" si="132"/>
        <v>288.18780040152183</v>
      </c>
      <c r="AR101" s="75">
        <f>SIM_BASE!H40</f>
        <v>194.31242706898277</v>
      </c>
      <c r="AS101" s="74">
        <f>SIM_BASE!K40</f>
        <v>166.76418766129481</v>
      </c>
      <c r="AT101" s="74">
        <f>SIM_BASE!L40</f>
        <v>121.67466375717524</v>
      </c>
      <c r="AU101" s="74">
        <f>SIM_BASE!M40</f>
        <v>13.152611737408638</v>
      </c>
      <c r="AV101" s="95">
        <f t="shared" si="133"/>
        <v>301.59146315587867</v>
      </c>
      <c r="AW101" s="74">
        <f>SIM_BASE!N40</f>
        <v>31.87363269684186</v>
      </c>
      <c r="AX101" s="74">
        <f>SIM_BASE!O40</f>
        <v>2019.6736175187639</v>
      </c>
      <c r="AY101" s="98">
        <f t="shared" si="134"/>
        <v>2051.5472502156058</v>
      </c>
      <c r="AZ101" s="72">
        <f>SIM_BASE!V40</f>
        <v>-7.4893514390270148</v>
      </c>
      <c r="BA101" s="72">
        <f>SIM_BASE!W40</f>
        <v>-4.5076818988272152</v>
      </c>
      <c r="BB101" s="72">
        <f>SIM_BASE!X40</f>
        <v>-1.4036294165026697</v>
      </c>
      <c r="BC101" s="88">
        <f t="shared" si="135"/>
        <v>-13.400662754356899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6"/>
        <v>3.0000000000000001E-3</v>
      </c>
      <c r="BI101" s="75">
        <f>SIM_BASE!U40</f>
        <v>-1857.2338231466231</v>
      </c>
      <c r="BJ101" s="72">
        <f t="shared" si="117"/>
        <v>-1.9999999999514842E-3</v>
      </c>
      <c r="BK101" s="72">
        <f t="shared" si="118"/>
        <v>-2.0000000000047749E-3</v>
      </c>
      <c r="BL101" s="72">
        <f t="shared" si="119"/>
        <v>-1.9999999999972254E-3</v>
      </c>
      <c r="BM101" s="88">
        <f t="shared" si="137"/>
        <v>-5.9999999999534844E-3</v>
      </c>
      <c r="BN101" s="73">
        <f t="shared" si="120"/>
        <v>-1.9999999999527063E-3</v>
      </c>
      <c r="BO101" s="74">
        <f>SIM_BASE!AB40</f>
        <v>147730.65905052284</v>
      </c>
      <c r="BP101" s="74">
        <f>SIM_BASE!AC40</f>
        <v>108750.68331191232</v>
      </c>
      <c r="BQ101" s="74">
        <f>SIM_BASE!AD40</f>
        <v>96669.906325117161</v>
      </c>
      <c r="BR101" s="95">
        <f t="shared" si="138"/>
        <v>129777.70494426922</v>
      </c>
      <c r="BS101" s="75">
        <f>SIM_BASE!AE40</f>
        <v>7901.9796474868072</v>
      </c>
    </row>
    <row r="102" spans="1:71">
      <c r="A102" s="348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48">
        <v>7</v>
      </c>
      <c r="AL102" s="81">
        <v>2023</v>
      </c>
      <c r="AM102" s="81" t="s">
        <v>6</v>
      </c>
      <c r="AN102" s="167">
        <f>SIM_BASE!E47</f>
        <v>163.94501227060135</v>
      </c>
      <c r="AO102" s="74">
        <f>SIM_BASE!F47</f>
        <v>124.2116263205661</v>
      </c>
      <c r="AP102" s="74">
        <f>SIM_BASE!G47</f>
        <v>12.676565356017909</v>
      </c>
      <c r="AQ102" s="95">
        <f t="shared" si="132"/>
        <v>300.83320394718538</v>
      </c>
      <c r="AR102" s="75">
        <f>SIM_BASE!H47</f>
        <v>204.04411295183746</v>
      </c>
      <c r="AS102" s="74">
        <f>SIM_BASE!K47</f>
        <v>173.26980781609421</v>
      </c>
      <c r="AT102" s="74">
        <f>SIM_BASE!L47</f>
        <v>129.09782081770379</v>
      </c>
      <c r="AU102" s="74">
        <f>SIM_BASE!M47</f>
        <v>14.064150216570578</v>
      </c>
      <c r="AV102" s="95">
        <f t="shared" si="133"/>
        <v>316.43177885036857</v>
      </c>
      <c r="AW102" s="74">
        <f>SIM_BASE!N47</f>
        <v>32.878618463583535</v>
      </c>
      <c r="AX102" s="74">
        <f>SIM_BASE!O47</f>
        <v>2119.2002433976936</v>
      </c>
      <c r="AY102" s="98">
        <f t="shared" si="134"/>
        <v>2152.0788618612773</v>
      </c>
      <c r="AZ102" s="72">
        <f>SIM_BASE!V47</f>
        <v>-9.323795545492823</v>
      </c>
      <c r="BA102" s="72">
        <f>SIM_BASE!W47</f>
        <v>-4.885194497137725</v>
      </c>
      <c r="BB102" s="72">
        <f>SIM_BASE!X47</f>
        <v>-1.3865848605526694</v>
      </c>
      <c r="BC102" s="88">
        <f t="shared" si="135"/>
        <v>-15.595574903183218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6"/>
        <v>3.0000000000000001E-3</v>
      </c>
      <c r="BI102" s="75">
        <f>SIM_BASE!U47</f>
        <v>-1948.0337489094397</v>
      </c>
      <c r="BJ102" s="72">
        <f t="shared" si="117"/>
        <v>-2.0000000000385256E-3</v>
      </c>
      <c r="BK102" s="72">
        <f t="shared" si="118"/>
        <v>-1.9999999999692477E-3</v>
      </c>
      <c r="BL102" s="72">
        <f t="shared" si="119"/>
        <v>-2.0000000000001119E-3</v>
      </c>
      <c r="BM102" s="88">
        <f t="shared" si="137"/>
        <v>-6.0000000000078853E-3</v>
      </c>
      <c r="BN102" s="73">
        <f t="shared" si="120"/>
        <v>-1.9999999999527063E-3</v>
      </c>
      <c r="BO102" s="74">
        <f>SIM_BASE!AB47</f>
        <v>155450.19965875239</v>
      </c>
      <c r="BP102" s="74">
        <f>SIM_BASE!AC47</f>
        <v>110832.87594989754</v>
      </c>
      <c r="BQ102" s="74">
        <f>SIM_BASE!AD47</f>
        <v>97549.197917239915</v>
      </c>
      <c r="BR102" s="95">
        <f t="shared" si="138"/>
        <v>134673.75403246598</v>
      </c>
      <c r="BS102" s="75">
        <f>SIM_BASE!AE47</f>
        <v>8160.6330816506343</v>
      </c>
    </row>
    <row r="103" spans="1:71">
      <c r="A103" s="348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48">
        <v>7</v>
      </c>
      <c r="AL103" s="81">
        <v>2024</v>
      </c>
      <c r="AM103" s="81" t="s">
        <v>6</v>
      </c>
      <c r="AN103" s="167">
        <f>SIM_BASE!E54</f>
        <v>168.96076109220621</v>
      </c>
      <c r="AO103" s="74">
        <f>SIM_BASE!F54</f>
        <v>132.1896650703587</v>
      </c>
      <c r="AP103" s="74">
        <f>SIM_BASE!G54</f>
        <v>13.790043536327067</v>
      </c>
      <c r="AQ103" s="95">
        <f t="shared" si="132"/>
        <v>314.940469698892</v>
      </c>
      <c r="AR103" s="75">
        <f>SIM_BASE!H54</f>
        <v>215.13684651736571</v>
      </c>
      <c r="AS103" s="74">
        <f>SIM_BASE!K54</f>
        <v>179.63914769030333</v>
      </c>
      <c r="AT103" s="74">
        <f>SIM_BASE!L54</f>
        <v>137.99282040289472</v>
      </c>
      <c r="AU103" s="74">
        <f>SIM_BASE!M54</f>
        <v>15.161768569130281</v>
      </c>
      <c r="AV103" s="95">
        <f t="shared" si="133"/>
        <v>332.79373666232834</v>
      </c>
      <c r="AW103" s="74">
        <f>SIM_BASE!N54</f>
        <v>33.888504830190421</v>
      </c>
      <c r="AX103" s="74">
        <f>SIM_BASE!O54</f>
        <v>2223.2942129727612</v>
      </c>
      <c r="AY103" s="98">
        <f t="shared" si="134"/>
        <v>2257.1827178029516</v>
      </c>
      <c r="AZ103" s="72">
        <f>SIM_BASE!V54</f>
        <v>-10.677386598097131</v>
      </c>
      <c r="BA103" s="72">
        <f>SIM_BASE!W54</f>
        <v>-5.8021553325359871</v>
      </c>
      <c r="BB103" s="72">
        <f>SIM_BASE!X54</f>
        <v>-1.3707250328032163</v>
      </c>
      <c r="BC103" s="88">
        <f t="shared" si="135"/>
        <v>-17.850266963436333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6"/>
        <v>3.0000000000000001E-3</v>
      </c>
      <c r="BI103" s="75">
        <f>SIM_BASE!U54</f>
        <v>-2042.0448712855862</v>
      </c>
      <c r="BJ103" s="72">
        <f t="shared" si="117"/>
        <v>-1.9999999999887877E-3</v>
      </c>
      <c r="BK103" s="72">
        <f t="shared" si="118"/>
        <v>-2.0000000000349729E-3</v>
      </c>
      <c r="BL103" s="72">
        <f t="shared" si="119"/>
        <v>-1.9999999999976694E-3</v>
      </c>
      <c r="BM103" s="88">
        <f t="shared" si="137"/>
        <v>-6.00000000002143E-3</v>
      </c>
      <c r="BN103" s="73">
        <f t="shared" si="120"/>
        <v>-1.9999999997253326E-3</v>
      </c>
      <c r="BO103" s="74">
        <f>SIM_BASE!AB54</f>
        <v>163698.95344029076</v>
      </c>
      <c r="BP103" s="74">
        <f>SIM_BASE!AC54</f>
        <v>111847.69118115478</v>
      </c>
      <c r="BQ103" s="74">
        <f>SIM_BASE!AD54</f>
        <v>97491.601605633259</v>
      </c>
      <c r="BR103" s="95">
        <f t="shared" si="138"/>
        <v>139182.49904872593</v>
      </c>
      <c r="BS103" s="75">
        <f>SIM_BASE!AE54</f>
        <v>8429.1787540903424</v>
      </c>
    </row>
    <row r="104" spans="1:71">
      <c r="A104" s="348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48">
        <v>7</v>
      </c>
      <c r="AL104" s="81">
        <v>2025</v>
      </c>
      <c r="AM104" s="81" t="s">
        <v>6</v>
      </c>
      <c r="AN104" s="167">
        <f>SIM_BASE!E61</f>
        <v>174.20540138359456</v>
      </c>
      <c r="AO104" s="74">
        <f>SIM_BASE!F61</f>
        <v>141.61866798401212</v>
      </c>
      <c r="AP104" s="74">
        <f>SIM_BASE!G61</f>
        <v>15.115914934029647</v>
      </c>
      <c r="AQ104" s="95">
        <f t="shared" si="132"/>
        <v>330.93998430163634</v>
      </c>
      <c r="AR104" s="75">
        <f>SIM_BASE!H61</f>
        <v>227.78925900537334</v>
      </c>
      <c r="AS104" s="74">
        <f>SIM_BASE!K61</f>
        <v>186.07476810738217</v>
      </c>
      <c r="AT104" s="74">
        <f>SIM_BASE!L61</f>
        <v>148.1587079505357</v>
      </c>
      <c r="AU104" s="74">
        <f>SIM_BASE!M61</f>
        <v>16.491794058146318</v>
      </c>
      <c r="AV104" s="95">
        <f t="shared" si="133"/>
        <v>350.72527011606417</v>
      </c>
      <c r="AW104" s="74">
        <f>SIM_BASE!N61</f>
        <v>34.935262254156328</v>
      </c>
      <c r="AX104" s="74">
        <f>SIM_BASE!O61</f>
        <v>2336.5233796263142</v>
      </c>
      <c r="AY104" s="98">
        <f t="shared" si="134"/>
        <v>2371.4586418804706</v>
      </c>
      <c r="AZ104" s="72">
        <f>SIM_BASE!V61</f>
        <v>-11.868366723787616</v>
      </c>
      <c r="BA104" s="72">
        <f>SIM_BASE!W61</f>
        <v>-6.539039966523573</v>
      </c>
      <c r="BB104" s="72">
        <f>SIM_BASE!X61</f>
        <v>-1.3748791241166682</v>
      </c>
      <c r="BC104" s="88">
        <f t="shared" si="135"/>
        <v>-19.782285814427858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6"/>
        <v>3.0000000000000001E-3</v>
      </c>
      <c r="BI104" s="75">
        <f>SIM_BASE!U61</f>
        <v>-2143.668382875097</v>
      </c>
      <c r="BJ104" s="72">
        <f t="shared" si="117"/>
        <v>-1.999999999990564E-3</v>
      </c>
      <c r="BK104" s="72">
        <f t="shared" si="118"/>
        <v>-2.0000000000065512E-3</v>
      </c>
      <c r="BL104" s="72">
        <f t="shared" si="119"/>
        <v>-2.0000000000036646E-3</v>
      </c>
      <c r="BM104" s="88">
        <f t="shared" si="137"/>
        <v>-6.0000000000007799E-3</v>
      </c>
      <c r="BN104" s="73">
        <f t="shared" si="120"/>
        <v>-2.0000000004074536E-3</v>
      </c>
      <c r="BO104" s="74">
        <f>SIM_BASE!AB61</f>
        <v>172298.50346800647</v>
      </c>
      <c r="BP104" s="74">
        <f>SIM_BASE!AC61</f>
        <v>112243.03233621515</v>
      </c>
      <c r="BQ104" s="74">
        <f>SIM_BASE!AD61</f>
        <v>96515.768492507865</v>
      </c>
      <c r="BR104" s="95">
        <f t="shared" si="138"/>
        <v>143365.50339285418</v>
      </c>
      <c r="BS104" s="75">
        <f>SIM_BASE!AE61</f>
        <v>8708.0048226064464</v>
      </c>
    </row>
    <row r="105" spans="1:71">
      <c r="A105" s="348">
        <v>7</v>
      </c>
      <c r="B105" s="81">
        <v>2026</v>
      </c>
      <c r="C105" s="81" t="s">
        <v>6</v>
      </c>
      <c r="D105" s="74">
        <v>233.33236308725631</v>
      </c>
      <c r="E105" s="74">
        <v>152.44300050688145</v>
      </c>
      <c r="F105" s="74">
        <v>16.621395646665601</v>
      </c>
      <c r="G105" s="95">
        <v>402.39675924080331</v>
      </c>
      <c r="H105" s="75">
        <v>237.14275615740914</v>
      </c>
      <c r="I105" s="74">
        <v>270.14840060278783</v>
      </c>
      <c r="J105" s="74">
        <v>177.42809598158186</v>
      </c>
      <c r="K105" s="74">
        <v>17.986398507429616</v>
      </c>
      <c r="L105" s="95">
        <v>465.56289509179931</v>
      </c>
      <c r="M105" s="74">
        <v>35.766736301461677</v>
      </c>
      <c r="N105" s="74">
        <v>2528.2404692563382</v>
      </c>
      <c r="O105" s="98">
        <v>2564.0072055577998</v>
      </c>
      <c r="P105" s="72">
        <v>-36.81503751553155</v>
      </c>
      <c r="Q105" s="72">
        <v>-24.984095474700442</v>
      </c>
      <c r="R105" s="72">
        <v>-1.3640028607640153</v>
      </c>
      <c r="S105" s="88">
        <v>-63.163135850996014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-2326.8634494003904</v>
      </c>
      <c r="Z105" s="72">
        <v>-1.9999999999692477E-3</v>
      </c>
      <c r="AA105" s="72">
        <v>-1.9999999999728004E-3</v>
      </c>
      <c r="AB105" s="72">
        <v>-1.9999999999998899E-3</v>
      </c>
      <c r="AC105" s="88">
        <v>-5.9999999999419381E-3</v>
      </c>
      <c r="AD105" s="73">
        <v>-2.0000000004074536E-3</v>
      </c>
      <c r="AE105" s="74">
        <v>121952.64207880416</v>
      </c>
      <c r="AF105" s="74">
        <v>94998.598379005853</v>
      </c>
      <c r="AG105" s="74">
        <v>90432.854429119456</v>
      </c>
      <c r="AH105" s="95">
        <v>110462.61104198458</v>
      </c>
      <c r="AI105" s="75">
        <v>8985.579006605687</v>
      </c>
      <c r="AK105" s="348">
        <v>7</v>
      </c>
      <c r="AL105" s="81">
        <v>2026</v>
      </c>
      <c r="AM105" s="81" t="s">
        <v>6</v>
      </c>
      <c r="AN105" s="167">
        <f>SIM_BASE!E68</f>
        <v>179.59507803550929</v>
      </c>
      <c r="AO105" s="74">
        <f>SIM_BASE!F68</f>
        <v>152.48141963716358</v>
      </c>
      <c r="AP105" s="74">
        <f>SIM_BASE!G68</f>
        <v>16.701864415584115</v>
      </c>
      <c r="AQ105" s="95">
        <f t="shared" si="132"/>
        <v>348.77836208825698</v>
      </c>
      <c r="AR105" s="75">
        <f>SIM_BASE!H68</f>
        <v>241.96507735743242</v>
      </c>
      <c r="AS105" s="74">
        <f>SIM_BASE!K68</f>
        <v>192.72596295855385</v>
      </c>
      <c r="AT105" s="74">
        <f>SIM_BASE!L68</f>
        <v>160.07588239610939</v>
      </c>
      <c r="AU105" s="74">
        <f>SIM_BASE!M68</f>
        <v>18.091580355402723</v>
      </c>
      <c r="AV105" s="95">
        <f t="shared" si="133"/>
        <v>370.89342571006591</v>
      </c>
      <c r="AW105" s="74">
        <f>SIM_BASE!N68</f>
        <v>36.029320698475743</v>
      </c>
      <c r="AX105" s="74">
        <f>SIM_BASE!O68</f>
        <v>2456.9640808097993</v>
      </c>
      <c r="AY105" s="98">
        <f t="shared" si="134"/>
        <v>2492.9934015082749</v>
      </c>
      <c r="AZ105" s="72">
        <f>SIM_BASE!V68</f>
        <v>-13.129884923044505</v>
      </c>
      <c r="BA105" s="72">
        <f>SIM_BASE!W68</f>
        <v>-7.5934627589457735</v>
      </c>
      <c r="BB105" s="72">
        <f>SIM_BASE!X68</f>
        <v>-1.3887159398186095</v>
      </c>
      <c r="BC105" s="88">
        <f t="shared" si="135"/>
        <v>-22.11206362180889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6"/>
        <v>3.0000000000000001E-3</v>
      </c>
      <c r="BI105" s="75">
        <f>SIM_BASE!U68</f>
        <v>-2251.0273241508426</v>
      </c>
      <c r="BJ105" s="72">
        <f t="shared" si="117"/>
        <v>-2.0000000000562892E-3</v>
      </c>
      <c r="BK105" s="72">
        <f t="shared" si="118"/>
        <v>-2.0000000000358611E-3</v>
      </c>
      <c r="BL105" s="72">
        <f t="shared" si="119"/>
        <v>-1.9999999999981135E-3</v>
      </c>
      <c r="BM105" s="88">
        <f t="shared" si="137"/>
        <v>-6.0000000000902639E-3</v>
      </c>
      <c r="BN105" s="73">
        <f t="shared" si="120"/>
        <v>-2.0000000004074536E-3</v>
      </c>
      <c r="BO105" s="74">
        <f>SIM_BASE!AB68</f>
        <v>181082.66924106449</v>
      </c>
      <c r="BP105" s="74">
        <f>SIM_BASE!AC68</f>
        <v>111719.49137305768</v>
      </c>
      <c r="BQ105" s="74">
        <f>SIM_BASE!AD68</f>
        <v>94638.897615273992</v>
      </c>
      <c r="BR105" s="95">
        <f t="shared" si="138"/>
        <v>146929.2562509033</v>
      </c>
      <c r="BS105" s="75">
        <f>SIM_BASE!AE68</f>
        <v>8985.5883323406961</v>
      </c>
    </row>
    <row r="106" spans="1:71">
      <c r="A106" s="348">
        <v>7</v>
      </c>
      <c r="B106" s="81">
        <v>2027</v>
      </c>
      <c r="C106" s="81" t="s">
        <v>6</v>
      </c>
      <c r="D106" s="74">
        <v>240.45675572112015</v>
      </c>
      <c r="E106" s="74">
        <v>165.04690022428798</v>
      </c>
      <c r="F106" s="74">
        <v>18.583492498180988</v>
      </c>
      <c r="G106" s="95">
        <v>424.08714844358911</v>
      </c>
      <c r="H106" s="75">
        <v>253.19623452779169</v>
      </c>
      <c r="I106" s="74">
        <v>280.14095461750122</v>
      </c>
      <c r="J106" s="74">
        <v>192.8867967777519</v>
      </c>
      <c r="K106" s="74">
        <v>19.811295998566955</v>
      </c>
      <c r="L106" s="95">
        <v>492.83904739382007</v>
      </c>
      <c r="M106" s="74">
        <v>36.806537144861899</v>
      </c>
      <c r="N106" s="74">
        <v>2659.4861120127398</v>
      </c>
      <c r="O106" s="98">
        <v>2696.2926491576018</v>
      </c>
      <c r="P106" s="72">
        <v>-39.683198896380951</v>
      </c>
      <c r="Q106" s="72">
        <v>-27.838896553463925</v>
      </c>
      <c r="R106" s="72">
        <v>-1.2268035003859672</v>
      </c>
      <c r="S106" s="88">
        <v>-68.748898950230839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-2443.0954146298095</v>
      </c>
      <c r="Z106" s="72">
        <v>-2.0000000001255671E-3</v>
      </c>
      <c r="AA106" s="72">
        <v>-1.999999999990564E-3</v>
      </c>
      <c r="AB106" s="72">
        <v>-1.9999999999998899E-3</v>
      </c>
      <c r="AC106" s="88">
        <v>-6.000000000116021E-3</v>
      </c>
      <c r="AD106" s="73">
        <v>-2.000000000862201E-3</v>
      </c>
      <c r="AE106" s="74">
        <v>128100.33378021847</v>
      </c>
      <c r="AF106" s="74">
        <v>93952.598901127247</v>
      </c>
      <c r="AG106" s="74">
        <v>88304.294266382218</v>
      </c>
      <c r="AH106" s="95">
        <v>113135.89791535932</v>
      </c>
      <c r="AI106" s="75">
        <v>9273.3265850669741</v>
      </c>
      <c r="AK106" s="348">
        <v>7</v>
      </c>
      <c r="AL106" s="81">
        <v>2027</v>
      </c>
      <c r="AM106" s="81" t="s">
        <v>6</v>
      </c>
      <c r="AN106" s="167">
        <f>SIM_BASE!E75</f>
        <v>184.99658005370915</v>
      </c>
      <c r="AO106" s="74">
        <f>SIM_BASE!F75</f>
        <v>165.09221911505608</v>
      </c>
      <c r="AP106" s="74">
        <f>SIM_BASE!G75</f>
        <v>18.599897856337563</v>
      </c>
      <c r="AQ106" s="95">
        <f t="shared" si="132"/>
        <v>368.68869702510284</v>
      </c>
      <c r="AR106" s="75">
        <f>SIM_BASE!H75</f>
        <v>258.07574876231985</v>
      </c>
      <c r="AS106" s="74">
        <f>SIM_BASE!K75</f>
        <v>199.80841731307581</v>
      </c>
      <c r="AT106" s="74">
        <f>SIM_BASE!L75</f>
        <v>173.92967944897481</v>
      </c>
      <c r="AU106" s="74">
        <f>SIM_BASE!M75</f>
        <v>20.017255865002543</v>
      </c>
      <c r="AV106" s="95">
        <f t="shared" si="133"/>
        <v>393.75535262705318</v>
      </c>
      <c r="AW106" s="74">
        <f>SIM_BASE!N75</f>
        <v>37.14426204522109</v>
      </c>
      <c r="AX106" s="74">
        <f>SIM_BASE!O75</f>
        <v>2584.4347636994216</v>
      </c>
      <c r="AY106" s="98">
        <f t="shared" si="134"/>
        <v>2621.5790257446429</v>
      </c>
      <c r="AZ106" s="72">
        <f>SIM_BASE!V75</f>
        <v>-14.810837259366654</v>
      </c>
      <c r="BA106" s="72">
        <f>SIM_BASE!W75</f>
        <v>-8.8364603339187244</v>
      </c>
      <c r="BB106" s="72">
        <f>SIM_BASE!X75</f>
        <v>-1.4163580086649743</v>
      </c>
      <c r="BC106" s="88">
        <f t="shared" si="135"/>
        <v>-25.063655601950355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6"/>
        <v>3.0000000000000001E-3</v>
      </c>
      <c r="BI106" s="75">
        <f>SIM_BASE!U75</f>
        <v>-2363.5022769823227</v>
      </c>
      <c r="BJ106" s="72">
        <f t="shared" si="117"/>
        <v>-2.0000000000012222E-3</v>
      </c>
      <c r="BK106" s="72">
        <f t="shared" si="118"/>
        <v>-2.0000000000029985E-3</v>
      </c>
      <c r="BL106" s="72">
        <f t="shared" si="119"/>
        <v>-2.000000000005663E-3</v>
      </c>
      <c r="BM106" s="88">
        <f t="shared" si="137"/>
        <v>-6.0000000000098837E-3</v>
      </c>
      <c r="BN106" s="73">
        <f t="shared" si="120"/>
        <v>-2.0000000004074536E-3</v>
      </c>
      <c r="BO106" s="74">
        <f>SIM_BASE!AB75</f>
        <v>189817.64156929997</v>
      </c>
      <c r="BP106" s="74">
        <f>SIM_BASE!AC75</f>
        <v>110382.97570632267</v>
      </c>
      <c r="BQ106" s="74">
        <f>SIM_BASE!AD75</f>
        <v>91919.293101252188</v>
      </c>
      <c r="BR106" s="95">
        <f t="shared" si="138"/>
        <v>149752.91062538268</v>
      </c>
      <c r="BS106" s="75">
        <f>SIM_BASE!AE75</f>
        <v>9273.3357960967314</v>
      </c>
    </row>
    <row r="107" spans="1:71">
      <c r="A107" s="348">
        <v>7</v>
      </c>
      <c r="B107" s="81">
        <v>2028</v>
      </c>
      <c r="C107" s="81" t="s">
        <v>6</v>
      </c>
      <c r="D107" s="74">
        <v>247.76031620773787</v>
      </c>
      <c r="E107" s="74">
        <v>179.67813145175381</v>
      </c>
      <c r="F107" s="74">
        <v>21.490937332945883</v>
      </c>
      <c r="G107" s="95">
        <v>448.92938499243752</v>
      </c>
      <c r="H107" s="75">
        <v>271.8543524572475</v>
      </c>
      <c r="I107" s="74">
        <v>290.56982011134465</v>
      </c>
      <c r="J107" s="74">
        <v>211.00988517903062</v>
      </c>
      <c r="K107" s="74">
        <v>21.41482090167073</v>
      </c>
      <c r="L107" s="95">
        <v>522.99452619204601</v>
      </c>
      <c r="M107" s="74">
        <v>37.930506912354588</v>
      </c>
      <c r="N107" s="74">
        <v>2816.4660969850411</v>
      </c>
      <c r="O107" s="98">
        <v>2854.3966038973958</v>
      </c>
      <c r="P107" s="72">
        <v>-42.808503903606955</v>
      </c>
      <c r="Q107" s="72">
        <v>-31.330753727276825</v>
      </c>
      <c r="R107" s="72">
        <v>-0.20323422164623714</v>
      </c>
      <c r="S107" s="88">
        <v>-74.342491852530017</v>
      </c>
      <c r="T107" s="73">
        <v>1E-3</v>
      </c>
      <c r="U107" s="72">
        <v>1E-3</v>
      </c>
      <c r="V107" s="72">
        <v>1E-3</v>
      </c>
      <c r="W107" s="72">
        <v>0.28135065292138861</v>
      </c>
      <c r="X107" s="88">
        <v>0.28335065292138861</v>
      </c>
      <c r="Y107" s="75">
        <v>-2582.5412514401478</v>
      </c>
      <c r="Z107" s="72">
        <v>-1.9999999998271392E-3</v>
      </c>
      <c r="AA107" s="72">
        <v>-1.9999999999799059E-3</v>
      </c>
      <c r="AB107" s="72">
        <v>-1.9999999999982254E-3</v>
      </c>
      <c r="AC107" s="88">
        <v>-5.9999999998052705E-3</v>
      </c>
      <c r="AD107" s="73">
        <v>-2.0000000004074536E-3</v>
      </c>
      <c r="AE107" s="74">
        <v>134555.46208513295</v>
      </c>
      <c r="AF107" s="74">
        <v>92446.39905050068</v>
      </c>
      <c r="AG107" s="74">
        <v>88296.887072047466</v>
      </c>
      <c r="AH107" s="95">
        <v>115671.80812623948</v>
      </c>
      <c r="AI107" s="75">
        <v>9571.6193210436104</v>
      </c>
      <c r="AK107" s="348">
        <v>7</v>
      </c>
      <c r="AL107" s="81">
        <v>2028</v>
      </c>
      <c r="AM107" s="81" t="s">
        <v>6</v>
      </c>
      <c r="AN107" s="167">
        <f>SIM_BASE!E82</f>
        <v>190.66676303174762</v>
      </c>
      <c r="AO107" s="74">
        <f>SIM_BASE!F82</f>
        <v>179.68975878890643</v>
      </c>
      <c r="AP107" s="74">
        <f>SIM_BASE!G82</f>
        <v>20.925290239433313</v>
      </c>
      <c r="AQ107" s="95">
        <f t="shared" si="132"/>
        <v>391.28181206008736</v>
      </c>
      <c r="AR107" s="75">
        <f>SIM_BASE!H82</f>
        <v>276.55982358046123</v>
      </c>
      <c r="AS107" s="74">
        <f>SIM_BASE!K82</f>
        <v>206.96550171730632</v>
      </c>
      <c r="AT107" s="74">
        <f>SIM_BASE!L82</f>
        <v>190.14950917876041</v>
      </c>
      <c r="AU107" s="74">
        <f>SIM_BASE!M82</f>
        <v>22.280034984063708</v>
      </c>
      <c r="AV107" s="95">
        <f t="shared" si="133"/>
        <v>419.39504588013045</v>
      </c>
      <c r="AW107" s="74">
        <f>SIM_BASE!N82</f>
        <v>38.247582894179423</v>
      </c>
      <c r="AX107" s="74">
        <f>SIM_BASE!O82</f>
        <v>2726.5523006488038</v>
      </c>
      <c r="AY107" s="98">
        <f t="shared" si="134"/>
        <v>2764.799883542983</v>
      </c>
      <c r="AZ107" s="72">
        <f>SIM_BASE!V82</f>
        <v>-16.297738685558727</v>
      </c>
      <c r="BA107" s="72">
        <f>SIM_BASE!W82</f>
        <v>-10.458750389853956</v>
      </c>
      <c r="BB107" s="72">
        <f>SIM_BASE!X82</f>
        <v>-1.3537447446303985</v>
      </c>
      <c r="BC107" s="88">
        <f t="shared" si="135"/>
        <v>-28.110233820043078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6"/>
        <v>3.0000000000000001E-3</v>
      </c>
      <c r="BI107" s="75">
        <f>SIM_BASE!U82</f>
        <v>-2488.2390599625214</v>
      </c>
      <c r="BJ107" s="72">
        <f t="shared" si="117"/>
        <v>-1.9999999999763532E-3</v>
      </c>
      <c r="BK107" s="72">
        <f t="shared" si="118"/>
        <v>-2.0000000000243148E-3</v>
      </c>
      <c r="BL107" s="72">
        <f t="shared" si="119"/>
        <v>-1.9999999999963372E-3</v>
      </c>
      <c r="BM107" s="88">
        <f t="shared" si="137"/>
        <v>-5.9999999999970051E-3</v>
      </c>
      <c r="BN107" s="73">
        <f t="shared" si="120"/>
        <v>-2.000000000862201E-3</v>
      </c>
      <c r="BO107" s="74">
        <f>SIM_BASE!AB82</f>
        <v>199117.78559396087</v>
      </c>
      <c r="BP107" s="74">
        <f>SIM_BASE!AC82</f>
        <v>108288.24697708208</v>
      </c>
      <c r="BQ107" s="74">
        <f>SIM_BASE!AD82</f>
        <v>88705.711299216709</v>
      </c>
      <c r="BR107" s="95">
        <f t="shared" si="138"/>
        <v>152071.02798747693</v>
      </c>
      <c r="BS107" s="75">
        <f>SIM_BASE!AE82</f>
        <v>9571.6280103917779</v>
      </c>
    </row>
    <row r="108" spans="1:71">
      <c r="A108" s="496">
        <v>7</v>
      </c>
      <c r="B108" s="81">
        <v>2029</v>
      </c>
      <c r="C108" s="81" t="s">
        <v>6</v>
      </c>
      <c r="D108" s="74">
        <v>255.15970181182885</v>
      </c>
      <c r="E108" s="74">
        <v>196.51275576717563</v>
      </c>
      <c r="F108" s="74">
        <v>25.328554819878939</v>
      </c>
      <c r="G108" s="95">
        <v>477.0010123988834</v>
      </c>
      <c r="H108" s="75">
        <v>293.26243228526175</v>
      </c>
      <c r="I108" s="74">
        <v>301.54189782668163</v>
      </c>
      <c r="J108" s="74">
        <v>232.44212796060521</v>
      </c>
      <c r="K108" s="74">
        <v>23.073820660577077</v>
      </c>
      <c r="L108" s="95">
        <v>557.05784644786388</v>
      </c>
      <c r="M108" s="74">
        <v>39.090208048559944</v>
      </c>
      <c r="N108" s="74">
        <v>2991.2933511117317</v>
      </c>
      <c r="O108" s="98">
        <v>3030.3835591602915</v>
      </c>
      <c r="P108" s="72">
        <v>-46.381196014852691</v>
      </c>
      <c r="Q108" s="72">
        <v>-35.928372193429567</v>
      </c>
      <c r="R108" s="72">
        <v>-0.20814315174207373</v>
      </c>
      <c r="S108" s="88">
        <v>-82.517711360024336</v>
      </c>
      <c r="T108" s="73">
        <v>1E-3</v>
      </c>
      <c r="U108" s="72">
        <v>1E-3</v>
      </c>
      <c r="V108" s="72">
        <v>1E-3</v>
      </c>
      <c r="W108" s="72">
        <v>2.4648773110439319</v>
      </c>
      <c r="X108" s="88">
        <v>2.4668773110439317</v>
      </c>
      <c r="Y108" s="75">
        <v>-2737.1201268750297</v>
      </c>
      <c r="Z108" s="72">
        <v>-2.00000000009004E-3</v>
      </c>
      <c r="AA108" s="72">
        <v>-2.0000000000047749E-3</v>
      </c>
      <c r="AB108" s="72">
        <v>-1.9999999999966711E-3</v>
      </c>
      <c r="AC108" s="88">
        <v>-6.000000000091486E-3</v>
      </c>
      <c r="AD108" s="73">
        <v>-2.0000000004074536E-3</v>
      </c>
      <c r="AE108" s="74">
        <v>141149.28696379837</v>
      </c>
      <c r="AF108" s="74">
        <v>90262.384019026591</v>
      </c>
      <c r="AG108" s="74">
        <v>88670.370347473698</v>
      </c>
      <c r="AH108" s="95">
        <v>117742.114442274</v>
      </c>
      <c r="AI108" s="75">
        <v>9880.8520065929843</v>
      </c>
      <c r="AK108" s="496">
        <v>7</v>
      </c>
      <c r="AL108" s="81">
        <v>2029</v>
      </c>
      <c r="AM108" s="81" t="s">
        <v>6</v>
      </c>
      <c r="AN108" s="167">
        <f>SIM_BASE!E89</f>
        <v>196.5813552619918</v>
      </c>
      <c r="AO108" s="74">
        <f>SIM_BASE!F89</f>
        <v>196.68811366389698</v>
      </c>
      <c r="AP108" s="74">
        <f>SIM_BASE!G89</f>
        <v>24.569785811268556</v>
      </c>
      <c r="AQ108" s="95">
        <f t="shared" si="132"/>
        <v>417.83925473715732</v>
      </c>
      <c r="AR108" s="75">
        <f>SIM_BASE!H89</f>
        <v>298.33047463307639</v>
      </c>
      <c r="AS108" s="74">
        <f>SIM_BASE!K89</f>
        <v>214.32309039763018</v>
      </c>
      <c r="AT108" s="74">
        <f>SIM_BASE!L89</f>
        <v>209.20916106984942</v>
      </c>
      <c r="AU108" s="74">
        <f>SIM_BASE!M89</f>
        <v>24.102343138410429</v>
      </c>
      <c r="AV108" s="95">
        <f t="shared" si="133"/>
        <v>447.63459460589002</v>
      </c>
      <c r="AW108" s="74">
        <f>SIM_BASE!N89</f>
        <v>39.432180618089156</v>
      </c>
      <c r="AX108" s="74">
        <f>SIM_BASE!O89</f>
        <v>2910.0710532368912</v>
      </c>
      <c r="AY108" s="98">
        <f t="shared" si="134"/>
        <v>2949.5032338549804</v>
      </c>
      <c r="AZ108" s="72">
        <f>SIM_BASE!V89</f>
        <v>-17.740735135638456</v>
      </c>
      <c r="BA108" s="72">
        <f>SIM_BASE!W89</f>
        <v>-12.52004740595248</v>
      </c>
      <c r="BB108" s="72">
        <f>SIM_BASE!X89</f>
        <v>-0.26245463580900324</v>
      </c>
      <c r="BC108" s="88">
        <f t="shared" si="135"/>
        <v>-30.523237177399938</v>
      </c>
      <c r="BD108" s="73">
        <f>SIM_BASE!Y89</f>
        <v>1E-3</v>
      </c>
      <c r="BE108" s="72">
        <f>SIM_BASE!R89</f>
        <v>1E-3</v>
      </c>
      <c r="BF108" s="72">
        <f>SIM_BASE!S89</f>
        <v>1E-3</v>
      </c>
      <c r="BG108" s="72">
        <f>SIM_BASE!T89</f>
        <v>0.73189730866712677</v>
      </c>
      <c r="BH108" s="88">
        <f t="shared" si="136"/>
        <v>0.73389730866712677</v>
      </c>
      <c r="BI108" s="75">
        <f>SIM_BASE!U89</f>
        <v>-2651.1717592219034</v>
      </c>
      <c r="BJ108" s="72">
        <f t="shared" si="117"/>
        <v>-1.9999999999230625E-3</v>
      </c>
      <c r="BK108" s="72">
        <f t="shared" si="118"/>
        <v>-1.9999999999497078E-3</v>
      </c>
      <c r="BL108" s="72">
        <f t="shared" si="119"/>
        <v>-1.9999999999968932E-3</v>
      </c>
      <c r="BM108" s="88">
        <f t="shared" si="137"/>
        <v>-5.9999999998696634E-3</v>
      </c>
      <c r="BN108" s="73">
        <f t="shared" si="120"/>
        <v>-2.000000000862201E-3</v>
      </c>
      <c r="BO108" s="74">
        <f>SIM_BASE!AB89</f>
        <v>209358.62190201695</v>
      </c>
      <c r="BP108" s="74">
        <f>SIM_BASE!AC89</f>
        <v>105829.02805022162</v>
      </c>
      <c r="BQ108" s="74">
        <f>SIM_BASE!AD89</f>
        <v>88670.509358023744</v>
      </c>
      <c r="BR108" s="95">
        <f t="shared" si="138"/>
        <v>154474.11102427906</v>
      </c>
      <c r="BS108" s="75">
        <f>SIM_BASE!AE89</f>
        <v>9880.8607393541115</v>
      </c>
    </row>
    <row r="109" spans="1:71" ht="17" thickBot="1">
      <c r="A109" s="382">
        <v>7</v>
      </c>
      <c r="B109" s="82">
        <v>2030</v>
      </c>
      <c r="C109" s="82" t="s">
        <v>6</v>
      </c>
      <c r="D109" s="78">
        <v>319.56575633692694</v>
      </c>
      <c r="E109" s="78">
        <v>174.615489040912</v>
      </c>
      <c r="F109" s="78">
        <v>27.070057335413175</v>
      </c>
      <c r="G109" s="96">
        <v>521.25130271325213</v>
      </c>
      <c r="H109" s="79">
        <v>2812.2991509598883</v>
      </c>
      <c r="I109" s="78">
        <v>282.67630963310978</v>
      </c>
      <c r="J109" s="78">
        <v>167.13524433457317</v>
      </c>
      <c r="K109" s="78">
        <v>21.117318275892767</v>
      </c>
      <c r="L109" s="96">
        <v>470.92887224357571</v>
      </c>
      <c r="M109" s="78">
        <v>40.258662677033961</v>
      </c>
      <c r="N109" s="78">
        <v>3132.699292335983</v>
      </c>
      <c r="O109" s="99">
        <v>3172.957955013017</v>
      </c>
      <c r="P109" s="76">
        <v>36.890446703817112</v>
      </c>
      <c r="Q109" s="76">
        <v>7.4812447063387735</v>
      </c>
      <c r="R109" s="76">
        <v>1E-3</v>
      </c>
      <c r="S109" s="89">
        <v>44.37269141015588</v>
      </c>
      <c r="T109" s="77">
        <v>1E-3</v>
      </c>
      <c r="U109" s="76">
        <v>1E-3</v>
      </c>
      <c r="V109" s="76">
        <v>1E-3</v>
      </c>
      <c r="W109" s="76">
        <v>5.9537390595204034</v>
      </c>
      <c r="X109" s="89">
        <v>5.9557390595204032</v>
      </c>
      <c r="Y109" s="79">
        <v>-360.65780405312876</v>
      </c>
      <c r="Z109" s="76">
        <v>-1.9999999999550369E-3</v>
      </c>
      <c r="AA109" s="76">
        <v>-1.999999999950596E-3</v>
      </c>
      <c r="AB109" s="76">
        <v>-1.999999999996227E-3</v>
      </c>
      <c r="AC109" s="89">
        <v>-5.9999999999018599E-3</v>
      </c>
      <c r="AD109" s="77">
        <v>-1.9999999999527063E-3</v>
      </c>
      <c r="AE109" s="78">
        <v>145092.6923534082</v>
      </c>
      <c r="AF109" s="78">
        <v>88625.973730663885</v>
      </c>
      <c r="AG109" s="78">
        <v>87704.773375962031</v>
      </c>
      <c r="AH109" s="96">
        <v>122478.96363194282</v>
      </c>
      <c r="AI109" s="79">
        <v>10696.013171674778</v>
      </c>
      <c r="AK109" s="382">
        <v>7</v>
      </c>
      <c r="AL109" s="82">
        <v>2030</v>
      </c>
      <c r="AM109" s="82" t="s">
        <v>6</v>
      </c>
      <c r="AN109" s="169">
        <f>SIM_BASE!E90</f>
        <v>318.13406151684148</v>
      </c>
      <c r="AO109" s="78">
        <f>SIM_BASE!F90</f>
        <v>178.68089665663126</v>
      </c>
      <c r="AP109" s="78">
        <f>SIM_BASE!G90</f>
        <v>26.274011119450378</v>
      </c>
      <c r="AQ109" s="96">
        <f t="shared" ref="AQ109" si="150">SUM(AN109:AP109)</f>
        <v>523.08896929292314</v>
      </c>
      <c r="AR109" s="79">
        <f>SIM_BASE!H90</f>
        <v>2859.1677586418086</v>
      </c>
      <c r="AS109" s="78">
        <f>SIM_BASE!K90</f>
        <v>219.10843171029333</v>
      </c>
      <c r="AT109" s="78">
        <f>SIM_BASE!L90</f>
        <v>152.15176177828383</v>
      </c>
      <c r="AU109" s="78">
        <f>SIM_BASE!M90</f>
        <v>22.030134101355742</v>
      </c>
      <c r="AV109" s="96">
        <f t="shared" ref="AV109" si="151">SUM(AS109:AU109)</f>
        <v>393.29032758993287</v>
      </c>
      <c r="AW109" s="78">
        <f>SIM_BASE!N90</f>
        <v>60.459301665939577</v>
      </c>
      <c r="AX109" s="78">
        <f>SIM_BASE!O90</f>
        <v>3433.0856145148828</v>
      </c>
      <c r="AY109" s="99">
        <f t="shared" ref="AY109" si="152">SUM(AW109:AX109)</f>
        <v>3493.5449161808224</v>
      </c>
      <c r="AZ109" s="76">
        <f>SIM_BASE!V90</f>
        <v>99.026629806548115</v>
      </c>
      <c r="BA109" s="76">
        <f>SIM_BASE!W90</f>
        <v>26.530134878347408</v>
      </c>
      <c r="BB109" s="76">
        <f>SIM_BASE!X90</f>
        <v>1E-3</v>
      </c>
      <c r="BC109" s="89">
        <f t="shared" ref="BC109" si="153">SUM(AZ109:BB109)</f>
        <v>125.55776468489553</v>
      </c>
      <c r="BD109" s="77">
        <f>SIM_BASE!Y90</f>
        <v>1E-3</v>
      </c>
      <c r="BE109" s="76">
        <f>SIM_BASE!R90</f>
        <v>1E-3</v>
      </c>
      <c r="BF109" s="76">
        <f>SIM_BASE!S90</f>
        <v>1E-3</v>
      </c>
      <c r="BG109" s="76">
        <f>SIM_BASE!T90</f>
        <v>4.2448770180946349</v>
      </c>
      <c r="BH109" s="89">
        <f t="shared" ref="BH109" si="154">SUM(BE109:BG109)</f>
        <v>4.2468770180946347</v>
      </c>
      <c r="BI109" s="79">
        <f>SIM_BASE!U90</f>
        <v>-634.37615753901309</v>
      </c>
      <c r="BJ109" s="76">
        <f t="shared" ref="BJ109" si="155">AN109-AS109-AZ109-BE109</f>
        <v>-1.9999999999621423E-3</v>
      </c>
      <c r="BK109" s="76">
        <f t="shared" ref="BK109" si="156">AO109-AT109-BA109-BF109</f>
        <v>-1.9999999999728004E-3</v>
      </c>
      <c r="BL109" s="76">
        <f t="shared" ref="BL109" si="157">AP109-AU109-BB109-BG109</f>
        <v>-1.9999999999988916E-3</v>
      </c>
      <c r="BM109" s="89">
        <f t="shared" ref="BM109" si="158">SUM(BJ109:BL109)</f>
        <v>-5.9999999999338343E-3</v>
      </c>
      <c r="BN109" s="77">
        <f t="shared" ref="BN109" si="159">AR109-AW109-AX109-BD109-BI109</f>
        <v>-2.0000000006348273E-3</v>
      </c>
      <c r="BO109" s="78">
        <f>SIM_BASE!AB90</f>
        <v>209683.36437731993</v>
      </c>
      <c r="BP109" s="78">
        <f>SIM_BASE!AC90</f>
        <v>103865.437135523</v>
      </c>
      <c r="BQ109" s="78">
        <f>SIM_BASE!AD90</f>
        <v>87704.773375962002</v>
      </c>
      <c r="BR109" s="96">
        <f t="shared" ref="BR109" si="160">SUMPRODUCT(BO109:BQ109,AS109:AU109)/AV109</f>
        <v>161913.08512852789</v>
      </c>
      <c r="BS109" s="79">
        <f>SIM_BASE!AE90</f>
        <v>10695.952994858741</v>
      </c>
    </row>
    <row r="110" spans="1:71">
      <c r="A110" s="83"/>
      <c r="B110" s="84"/>
      <c r="C110" s="84"/>
      <c r="D110" s="84"/>
      <c r="AH110" s="238"/>
      <c r="AI110" s="370"/>
      <c r="AK110" s="83"/>
      <c r="AL110" s="84"/>
      <c r="AM110" s="84"/>
      <c r="AN110" s="84"/>
      <c r="BR110" s="238"/>
    </row>
    <row r="111" spans="1:71">
      <c r="A111" s="83"/>
      <c r="B111" s="84"/>
      <c r="C111" s="84"/>
      <c r="D111" s="84"/>
      <c r="AK111" s="83"/>
      <c r="AL111" s="84"/>
      <c r="AM111" s="84"/>
      <c r="AN111" s="84"/>
    </row>
    <row r="112" spans="1:71">
      <c r="A112" s="83"/>
      <c r="B112" s="84"/>
      <c r="C112" s="84"/>
      <c r="D112" s="536">
        <f>SUM(D19:AI109)-SUM(AN19:BS109)</f>
        <v>-8044285.9718474746</v>
      </c>
      <c r="AK112" s="83"/>
      <c r="AL112" s="84"/>
      <c r="AM112" s="84"/>
      <c r="AN112" s="84"/>
    </row>
  </sheetData>
  <sortState xmlns:xlrd2="http://schemas.microsoft.com/office/spreadsheetml/2017/richdata2" ref="AK7:BS90">
    <sortCondition ref="AK7:AK90"/>
    <sortCondition ref="AL7:AL90"/>
  </sortState>
  <mergeCells count="16">
    <mergeCell ref="BJ3:BN3"/>
    <mergeCell ref="BO3:BS3"/>
    <mergeCell ref="BE3:BI3"/>
    <mergeCell ref="AL3:AL5"/>
    <mergeCell ref="AM3:AM5"/>
    <mergeCell ref="AN3:AR3"/>
    <mergeCell ref="AS3:AY3"/>
    <mergeCell ref="AZ3:BD3"/>
    <mergeCell ref="U3:Y3"/>
    <mergeCell ref="Z3:AD3"/>
    <mergeCell ref="AE3:AI3"/>
    <mergeCell ref="B3:B5"/>
    <mergeCell ref="C3:C5"/>
    <mergeCell ref="D3:H3"/>
    <mergeCell ref="I3:O3"/>
    <mergeCell ref="P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Rich, Karl (ILRI)</cp:lastModifiedBy>
  <dcterms:created xsi:type="dcterms:W3CDTF">2015-04-13T12:11:31Z</dcterms:created>
  <dcterms:modified xsi:type="dcterms:W3CDTF">2020-04-28T22:01:10Z</dcterms:modified>
</cp:coreProperties>
</file>