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PM2018\Version03\VPM2018 Simulation (V03Final)\VPM2018ScenSim (V03Final_NNQue)\"/>
    </mc:Choice>
  </mc:AlternateContent>
  <bookViews>
    <workbookView xWindow="384" yWindow="144" windowWidth="15720" windowHeight="5772" activeTab="1"/>
  </bookViews>
  <sheets>
    <sheet name="HOME" sheetId="2" r:id="rId1"/>
    <sheet name="INPUT" sheetId="1" r:id="rId2"/>
    <sheet name="Sheet3" sheetId="3" r:id="rId3"/>
  </sheets>
  <definedNames>
    <definedName name="solver_adj" localSheetId="1" hidden="1">INPUT!$C$326,INPUT!$H$326,INPUT!$C$330,INPUT!$H$330</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INPUT!$J$288</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INPUT!$I$330</definedName>
    <definedName name="solver_pre" localSheetId="1" hidden="1">0.000001</definedName>
    <definedName name="solver_rbv" localSheetId="1" hidden="1">1</definedName>
    <definedName name="solver_rel1" localSheetId="1" hidden="1">1</definedName>
    <definedName name="solver_rhs1" localSheetId="1" hidden="1">40.5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3</definedName>
    <definedName name="solver_val" localSheetId="1" hidden="1">0.16</definedName>
    <definedName name="solver_ver" localSheetId="1" hidden="1">3</definedName>
  </definedNames>
  <calcPr calcId="152511"/>
</workbook>
</file>

<file path=xl/calcChain.xml><?xml version="1.0" encoding="utf-8"?>
<calcChain xmlns="http://schemas.openxmlformats.org/spreadsheetml/2006/main">
  <c r="B515" i="1" l="1"/>
  <c r="G382" i="1"/>
  <c r="G383" i="1"/>
  <c r="F382" i="1"/>
  <c r="D271" i="1"/>
  <c r="E355" i="1"/>
  <c r="G351" i="1"/>
  <c r="F65" i="1" l="1"/>
  <c r="D49" i="1" l="1"/>
  <c r="D65" i="1"/>
  <c r="D45" i="1" l="1"/>
  <c r="C68" i="1"/>
  <c r="C72" i="1" l="1"/>
  <c r="C65" i="1"/>
  <c r="C66" i="1"/>
  <c r="D66" i="1"/>
  <c r="C67" i="1"/>
  <c r="D67" i="1"/>
  <c r="D68" i="1"/>
  <c r="C69" i="1"/>
  <c r="D69" i="1"/>
  <c r="C70" i="1"/>
  <c r="D70" i="1"/>
  <c r="C71" i="1"/>
  <c r="D71" i="1"/>
  <c r="C55" i="1"/>
  <c r="D55" i="1"/>
  <c r="C45" i="1"/>
  <c r="E191" i="1" l="1"/>
  <c r="E106" i="1" l="1"/>
  <c r="L516" i="1" l="1"/>
  <c r="K516" i="1"/>
  <c r="H326" i="3" l="1"/>
  <c r="G326" i="3"/>
  <c r="F326" i="3"/>
  <c r="E326" i="3"/>
  <c r="D326" i="3"/>
  <c r="C326" i="3"/>
  <c r="B326" i="3"/>
  <c r="J341" i="1" l="1"/>
  <c r="E617" i="1" s="1"/>
  <c r="J340" i="1"/>
  <c r="J339" i="1"/>
  <c r="J338" i="1"/>
  <c r="J337" i="1"/>
  <c r="D616" i="1" s="1"/>
  <c r="J336" i="1"/>
  <c r="J335" i="1"/>
  <c r="J334" i="1"/>
  <c r="J333" i="1"/>
  <c r="C615" i="1" s="1"/>
  <c r="B614" i="1"/>
  <c r="E606" i="1"/>
  <c r="C608" i="1"/>
  <c r="C607" i="1"/>
  <c r="C606" i="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1" i="1"/>
  <c r="F161" i="1" s="1"/>
  <c r="E162" i="1"/>
  <c r="F162" i="1" s="1"/>
  <c r="E167" i="1"/>
  <c r="F167" i="1" s="1"/>
  <c r="E166" i="1"/>
  <c r="F166" i="1" s="1"/>
  <c r="E165" i="1"/>
  <c r="F165" i="1" s="1"/>
  <c r="E164" i="1"/>
  <c r="F164" i="1" s="1"/>
  <c r="E163" i="1"/>
  <c r="F163" i="1" s="1"/>
  <c r="B606" i="1" l="1"/>
  <c r="B608" i="1"/>
  <c r="B609" i="1"/>
  <c r="B607" i="1"/>
  <c r="B617" i="1"/>
  <c r="B616" i="1"/>
  <c r="B615" i="1"/>
  <c r="E608" i="1"/>
  <c r="E607" i="1"/>
  <c r="D608" i="1"/>
  <c r="D607" i="1"/>
  <c r="D606" i="1"/>
  <c r="F606" i="1" s="1"/>
  <c r="F599" i="1" l="1"/>
  <c r="F600" i="1"/>
  <c r="G600" i="1"/>
  <c r="G599" i="1"/>
  <c r="E599" i="1"/>
  <c r="E600" i="1"/>
  <c r="F607" i="1"/>
  <c r="F608" i="1"/>
  <c r="H606" i="1"/>
  <c r="H607" i="1"/>
  <c r="H608" i="1"/>
  <c r="G606" i="1" l="1"/>
  <c r="J599" i="1" s="1"/>
  <c r="E537" i="1" s="1"/>
  <c r="G608" i="1"/>
  <c r="G607" i="1"/>
  <c r="D537" i="1" l="1"/>
  <c r="C614" i="1"/>
  <c r="K599" i="1"/>
  <c r="L599" i="1"/>
  <c r="C544" i="1"/>
  <c r="E539" i="1" l="1"/>
  <c r="D539" i="1" s="1"/>
  <c r="E614" i="1"/>
  <c r="E538" i="1"/>
  <c r="D538" i="1" s="1"/>
  <c r="D614" i="1"/>
  <c r="E515" i="1"/>
  <c r="D515" i="1"/>
  <c r="C515" i="1"/>
  <c r="I513" i="1" l="1"/>
  <c r="H513" i="1"/>
  <c r="G513" i="1"/>
  <c r="F513" i="1"/>
  <c r="F512" i="1"/>
  <c r="G512" i="1"/>
  <c r="K254" i="1" l="1"/>
  <c r="K255" i="1" s="1"/>
  <c r="K253" i="1"/>
  <c r="C305" i="1" l="1"/>
  <c r="B315" i="1" l="1"/>
  <c r="F281" i="1" s="1"/>
  <c r="B305" i="1"/>
  <c r="F271" i="1" s="1"/>
  <c r="C321" i="1" l="1"/>
  <c r="G287" i="1" s="1"/>
  <c r="B321" i="1"/>
  <c r="C320" i="1"/>
  <c r="G286" i="1" s="1"/>
  <c r="B320" i="1"/>
  <c r="C319" i="1"/>
  <c r="G285" i="1" s="1"/>
  <c r="B319" i="1"/>
  <c r="C318" i="1"/>
  <c r="G284" i="1" s="1"/>
  <c r="B318" i="1"/>
  <c r="F284" i="1" s="1"/>
  <c r="C317" i="1"/>
  <c r="G283" i="1" s="1"/>
  <c r="B317" i="1"/>
  <c r="C316" i="1"/>
  <c r="G282" i="1" s="1"/>
  <c r="B316" i="1"/>
  <c r="C315" i="1"/>
  <c r="G281" i="1" s="1"/>
  <c r="C311" i="1"/>
  <c r="G277" i="1" s="1"/>
  <c r="B311" i="1"/>
  <c r="F277" i="1" s="1"/>
  <c r="C310" i="1"/>
  <c r="G276" i="1" s="1"/>
  <c r="B310" i="1"/>
  <c r="F276" i="1" s="1"/>
  <c r="C309" i="1"/>
  <c r="G275" i="1" s="1"/>
  <c r="B309" i="1"/>
  <c r="F275" i="1" s="1"/>
  <c r="C308" i="1"/>
  <c r="G274" i="1" s="1"/>
  <c r="B308" i="1"/>
  <c r="C307" i="1"/>
  <c r="G273" i="1" s="1"/>
  <c r="B307" i="1"/>
  <c r="C306" i="1"/>
  <c r="G272" i="1" s="1"/>
  <c r="B306" i="1"/>
  <c r="F272" i="1" s="1"/>
  <c r="G271" i="1"/>
  <c r="C288" i="1"/>
  <c r="B288" i="1"/>
  <c r="I307" i="1" l="1"/>
  <c r="F273" i="1"/>
  <c r="I308" i="1"/>
  <c r="F274" i="1"/>
  <c r="I316" i="1"/>
  <c r="F282" i="1"/>
  <c r="I320" i="1"/>
  <c r="F286" i="1"/>
  <c r="I317" i="1"/>
  <c r="F283" i="1"/>
  <c r="I319" i="1"/>
  <c r="F285" i="1"/>
  <c r="I321" i="1"/>
  <c r="F287" i="1"/>
  <c r="I310" i="1"/>
  <c r="I305" i="1"/>
  <c r="I318" i="1"/>
  <c r="I306" i="1"/>
  <c r="I309" i="1"/>
  <c r="I311" i="1"/>
  <c r="I315" i="1"/>
  <c r="C278" i="1"/>
  <c r="B278" i="1"/>
  <c r="H285" i="1" l="1"/>
  <c r="H287" i="1"/>
  <c r="H283" i="1"/>
  <c r="H282" i="1"/>
  <c r="H284" i="1"/>
  <c r="H286" i="1"/>
  <c r="G288" i="1"/>
  <c r="G278" i="1" s="1"/>
  <c r="H276" i="1" l="1"/>
  <c r="H277" i="1"/>
  <c r="H275" i="1"/>
  <c r="H272" i="1"/>
  <c r="H274" i="1"/>
  <c r="H273" i="1"/>
  <c r="J286" i="1"/>
  <c r="J283" i="1"/>
  <c r="J284" i="1"/>
  <c r="J287" i="1"/>
  <c r="J282" i="1"/>
  <c r="J285" i="1"/>
  <c r="D61" i="1"/>
  <c r="C61" i="1"/>
  <c r="D60" i="1"/>
  <c r="C60" i="1"/>
  <c r="D59" i="1"/>
  <c r="C59" i="1"/>
  <c r="D58" i="1"/>
  <c r="C58" i="1"/>
  <c r="D57" i="1"/>
  <c r="C57" i="1"/>
  <c r="D56" i="1"/>
  <c r="C56" i="1"/>
  <c r="C551"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D550" i="1"/>
  <c r="C550" i="1"/>
  <c r="D549" i="1"/>
  <c r="C549" i="1"/>
  <c r="D548" i="1"/>
  <c r="C548" i="1"/>
  <c r="D547" i="1"/>
  <c r="C547" i="1"/>
  <c r="D546" i="1"/>
  <c r="C546" i="1"/>
  <c r="D545" i="1"/>
  <c r="C545" i="1"/>
  <c r="D544" i="1"/>
  <c r="E544" i="1" s="1"/>
  <c r="D579" i="1" l="1"/>
  <c r="E546" i="1"/>
  <c r="E548" i="1"/>
  <c r="E545" i="1"/>
  <c r="D590" i="1"/>
  <c r="E549" i="1"/>
  <c r="E554" i="1"/>
  <c r="C75" i="1" s="1"/>
  <c r="E562" i="1"/>
  <c r="C83" i="1" s="1"/>
  <c r="E566" i="1"/>
  <c r="C87" i="1" s="1"/>
  <c r="D87" i="1" s="1"/>
  <c r="D121" i="1" s="1"/>
  <c r="E550" i="1"/>
  <c r="C578" i="1"/>
  <c r="C589" i="1" s="1"/>
  <c r="C582" i="1"/>
  <c r="C593" i="1" s="1"/>
  <c r="D576" i="1"/>
  <c r="D587" i="1" s="1"/>
  <c r="D580" i="1"/>
  <c r="E553" i="1"/>
  <c r="C74" i="1" s="1"/>
  <c r="D74" i="1" s="1"/>
  <c r="D108" i="1" s="1"/>
  <c r="E557" i="1"/>
  <c r="C78" i="1" s="1"/>
  <c r="D78" i="1" s="1"/>
  <c r="D112" i="1" s="1"/>
  <c r="E559" i="1"/>
  <c r="C80" i="1" s="1"/>
  <c r="E561" i="1"/>
  <c r="C82" i="1" s="1"/>
  <c r="D82" i="1" s="1"/>
  <c r="D116" i="1" s="1"/>
  <c r="E563" i="1"/>
  <c r="C84" i="1" s="1"/>
  <c r="D84" i="1" s="1"/>
  <c r="D118" i="1" s="1"/>
  <c r="E565" i="1"/>
  <c r="C86" i="1" s="1"/>
  <c r="D86" i="1" s="1"/>
  <c r="D120" i="1" s="1"/>
  <c r="E567" i="1"/>
  <c r="C88" i="1" s="1"/>
  <c r="E569" i="1"/>
  <c r="C90" i="1" s="1"/>
  <c r="C124" i="1" s="1"/>
  <c r="E571" i="1"/>
  <c r="C92" i="1" s="1"/>
  <c r="E552" i="1"/>
  <c r="C73" i="1" s="1"/>
  <c r="E556" i="1"/>
  <c r="C77" i="1" s="1"/>
  <c r="D77" i="1" s="1"/>
  <c r="D111" i="1" s="1"/>
  <c r="E560" i="1"/>
  <c r="C81" i="1" s="1"/>
  <c r="E564" i="1"/>
  <c r="C85" i="1" s="1"/>
  <c r="E568" i="1"/>
  <c r="C89" i="1" s="1"/>
  <c r="D89" i="1" s="1"/>
  <c r="D123" i="1" s="1"/>
  <c r="C581" i="1"/>
  <c r="C592" i="1" s="1"/>
  <c r="E558" i="1"/>
  <c r="C79" i="1" s="1"/>
  <c r="E570" i="1"/>
  <c r="C91" i="1" s="1"/>
  <c r="D577" i="1"/>
  <c r="D588" i="1" s="1"/>
  <c r="D581" i="1"/>
  <c r="D591" i="1"/>
  <c r="E547" i="1"/>
  <c r="E551" i="1"/>
  <c r="E555" i="1"/>
  <c r="C76" i="1" s="1"/>
  <c r="C579" i="1"/>
  <c r="C590" i="1" s="1"/>
  <c r="C576" i="1"/>
  <c r="C587" i="1" s="1"/>
  <c r="C580" i="1"/>
  <c r="C591" i="1" s="1"/>
  <c r="C577" i="1"/>
  <c r="C588" i="1" s="1"/>
  <c r="D578" i="1"/>
  <c r="D582" i="1"/>
  <c r="E581" i="1" l="1"/>
  <c r="E578" i="1"/>
  <c r="C108" i="1"/>
  <c r="C120" i="1"/>
  <c r="C117" i="1"/>
  <c r="D83" i="1"/>
  <c r="D117" i="1" s="1"/>
  <c r="D73" i="1"/>
  <c r="D107" i="1" s="1"/>
  <c r="C107" i="1"/>
  <c r="C112" i="1"/>
  <c r="D592" i="1"/>
  <c r="E592" i="1" s="1"/>
  <c r="C50" i="1" s="1"/>
  <c r="E582" i="1"/>
  <c r="D90" i="1"/>
  <c r="D124" i="1" s="1"/>
  <c r="C116" i="1"/>
  <c r="C111" i="1"/>
  <c r="D88" i="1"/>
  <c r="D122" i="1" s="1"/>
  <c r="C122" i="1"/>
  <c r="D80" i="1"/>
  <c r="D114" i="1" s="1"/>
  <c r="C114" i="1"/>
  <c r="D85" i="1"/>
  <c r="D119" i="1" s="1"/>
  <c r="C119" i="1"/>
  <c r="D81" i="1"/>
  <c r="D115" i="1" s="1"/>
  <c r="C115" i="1"/>
  <c r="D92" i="1"/>
  <c r="D126" i="1" s="1"/>
  <c r="C126" i="1"/>
  <c r="C123" i="1"/>
  <c r="E590" i="1"/>
  <c r="C48" i="1" s="1"/>
  <c r="D76" i="1"/>
  <c r="D110" i="1" s="1"/>
  <c r="C110" i="1"/>
  <c r="C113" i="1"/>
  <c r="D79" i="1"/>
  <c r="D113" i="1" s="1"/>
  <c r="D72" i="1"/>
  <c r="D106" i="1" s="1"/>
  <c r="C106" i="1"/>
  <c r="E577" i="1"/>
  <c r="D593" i="1"/>
  <c r="E593" i="1" s="1"/>
  <c r="C51" i="1" s="1"/>
  <c r="E576" i="1"/>
  <c r="C121" i="1"/>
  <c r="D75" i="1"/>
  <c r="D109" i="1" s="1"/>
  <c r="C109" i="1"/>
  <c r="E591" i="1"/>
  <c r="C49" i="1" s="1"/>
  <c r="D589" i="1"/>
  <c r="E589" i="1" s="1"/>
  <c r="C47" i="1" s="1"/>
  <c r="E579" i="1"/>
  <c r="C125" i="1"/>
  <c r="D91" i="1"/>
  <c r="D125" i="1" s="1"/>
  <c r="E588" i="1"/>
  <c r="C46" i="1" s="1"/>
  <c r="C118" i="1"/>
  <c r="E587" i="1"/>
  <c r="E580" i="1"/>
  <c r="C96" i="1" l="1"/>
  <c r="D46" i="1"/>
  <c r="D48" i="1"/>
  <c r="D47" i="1"/>
  <c r="D50" i="1"/>
  <c r="D51" i="1"/>
  <c r="I512" i="1"/>
  <c r="H512" i="1"/>
  <c r="I511" i="1"/>
  <c r="H511" i="1"/>
  <c r="G511" i="1"/>
  <c r="F511" i="1"/>
  <c r="I510" i="1"/>
  <c r="H510" i="1"/>
  <c r="G510" i="1"/>
  <c r="F510" i="1"/>
  <c r="I509" i="1"/>
  <c r="H509" i="1"/>
  <c r="G509" i="1"/>
  <c r="F509" i="1"/>
  <c r="I508" i="1"/>
  <c r="H508" i="1"/>
  <c r="G508" i="1"/>
  <c r="F508" i="1"/>
  <c r="I507" i="1"/>
  <c r="H507" i="1"/>
  <c r="G507" i="1"/>
  <c r="F507" i="1"/>
  <c r="I506" i="1"/>
  <c r="H506" i="1"/>
  <c r="G506" i="1"/>
  <c r="F506" i="1"/>
  <c r="I505" i="1"/>
  <c r="H505" i="1"/>
  <c r="G505" i="1"/>
  <c r="F505" i="1"/>
  <c r="I504" i="1"/>
  <c r="H504" i="1"/>
  <c r="G504" i="1"/>
  <c r="F504" i="1"/>
  <c r="I503" i="1"/>
  <c r="H503" i="1"/>
  <c r="G503" i="1"/>
  <c r="F503" i="1"/>
  <c r="I502" i="1"/>
  <c r="H502" i="1"/>
  <c r="G502" i="1"/>
  <c r="G515" i="1" s="1"/>
  <c r="C516" i="1" s="1"/>
  <c r="F502" i="1"/>
  <c r="F515" i="1" s="1"/>
  <c r="B516" i="1" s="1"/>
  <c r="D102" i="1" l="1"/>
  <c r="C102" i="1"/>
  <c r="C101" i="1"/>
  <c r="D101" i="1"/>
  <c r="C100" i="1"/>
  <c r="D100" i="1"/>
  <c r="C99" i="1"/>
  <c r="D99" i="1"/>
  <c r="D98" i="1"/>
  <c r="C98" i="1"/>
  <c r="C97" i="1"/>
  <c r="D97" i="1"/>
  <c r="H515" i="1"/>
  <c r="D516" i="1" s="1"/>
  <c r="I515" i="1"/>
  <c r="E516" i="1" s="1"/>
  <c r="D96" i="1"/>
  <c r="F493" i="1" l="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D287" i="1"/>
  <c r="I287" i="1" s="1"/>
  <c r="D286" i="1"/>
  <c r="I286" i="1" s="1"/>
  <c r="D285" i="1"/>
  <c r="I285" i="1" s="1"/>
  <c r="D284" i="1"/>
  <c r="I284" i="1" s="1"/>
  <c r="D283" i="1"/>
  <c r="I283" i="1" s="1"/>
  <c r="D282" i="1"/>
  <c r="L282" i="1" s="1"/>
  <c r="D281" i="1"/>
  <c r="E378" i="1"/>
  <c r="E377" i="1"/>
  <c r="E376" i="1"/>
  <c r="E375" i="1"/>
  <c r="E374" i="1"/>
  <c r="E373" i="1"/>
  <c r="E372" i="1"/>
  <c r="E371" i="1"/>
  <c r="E370" i="1"/>
  <c r="E369" i="1"/>
  <c r="E368" i="1"/>
  <c r="E367" i="1"/>
  <c r="E366" i="1"/>
  <c r="E365" i="1"/>
  <c r="E364" i="1"/>
  <c r="E363" i="1"/>
  <c r="E362" i="1"/>
  <c r="E361" i="1"/>
  <c r="E360" i="1"/>
  <c r="E359" i="1"/>
  <c r="E358" i="1"/>
  <c r="E357" i="1"/>
  <c r="E356" i="1"/>
  <c r="E354" i="1"/>
  <c r="E353" i="1"/>
  <c r="E352" i="1"/>
  <c r="E351" i="1"/>
  <c r="K382" i="1" l="1"/>
  <c r="I282" i="1"/>
  <c r="G397" i="1"/>
  <c r="M385" i="1" s="1"/>
  <c r="L285" i="1"/>
  <c r="M285" i="1"/>
  <c r="G384" i="1"/>
  <c r="L382" i="1" s="1"/>
  <c r="M282" i="1"/>
  <c r="M286" i="1"/>
  <c r="L286" i="1"/>
  <c r="G393" i="1"/>
  <c r="M384" i="1" s="1"/>
  <c r="M284" i="1"/>
  <c r="L284" i="1"/>
  <c r="D273" i="1"/>
  <c r="M283" i="1"/>
  <c r="L283" i="1"/>
  <c r="D317" i="1"/>
  <c r="L287" i="1"/>
  <c r="M287" i="1"/>
  <c r="D275" i="1"/>
  <c r="D319" i="1"/>
  <c r="G386" i="1"/>
  <c r="J383" i="1" s="1"/>
  <c r="G389" i="1"/>
  <c r="M383" i="1" s="1"/>
  <c r="G395" i="1"/>
  <c r="K385" i="1" s="1"/>
  <c r="G352" i="1"/>
  <c r="N383" i="1" s="1"/>
  <c r="D272" i="1"/>
  <c r="D316" i="1"/>
  <c r="D276" i="1"/>
  <c r="D320" i="1"/>
  <c r="G390" i="1"/>
  <c r="J384" i="1" s="1"/>
  <c r="G391" i="1"/>
  <c r="K384" i="1" s="1"/>
  <c r="D277" i="1"/>
  <c r="D321" i="1"/>
  <c r="G385" i="1"/>
  <c r="M382" i="1" s="1"/>
  <c r="G388" i="1"/>
  <c r="L383" i="1" s="1"/>
  <c r="G394" i="1"/>
  <c r="J385" i="1" s="1"/>
  <c r="D288" i="1"/>
  <c r="D278" i="1" s="1"/>
  <c r="G396" i="1"/>
  <c r="L385" i="1" s="1"/>
  <c r="G387" i="1"/>
  <c r="K383" i="1" s="1"/>
  <c r="G353" i="1"/>
  <c r="N384" i="1" s="1"/>
  <c r="D274" i="1"/>
  <c r="D318" i="1"/>
  <c r="J382" i="1"/>
  <c r="G392" i="1"/>
  <c r="L384" i="1" s="1"/>
  <c r="G354" i="1"/>
  <c r="N385" i="1" s="1"/>
  <c r="N382" i="1"/>
  <c r="I277" i="1" l="1"/>
  <c r="D311" i="1" s="1"/>
  <c r="I276" i="1"/>
  <c r="D310" i="1" s="1"/>
  <c r="I275" i="1"/>
  <c r="D309" i="1" s="1"/>
  <c r="I274" i="1"/>
  <c r="D308" i="1" s="1"/>
  <c r="I272" i="1"/>
  <c r="D306" i="1" s="1"/>
  <c r="I273" i="1"/>
  <c r="D307" i="1" s="1"/>
  <c r="G31" i="3" l="1"/>
  <c r="G30" i="3"/>
  <c r="G29" i="3"/>
  <c r="G28" i="3"/>
  <c r="G27" i="3"/>
  <c r="G26" i="3"/>
  <c r="G25" i="3"/>
  <c r="G24" i="3"/>
  <c r="G23" i="3"/>
  <c r="G22" i="3"/>
  <c r="G21" i="3"/>
  <c r="G20" i="3"/>
  <c r="G19" i="3"/>
  <c r="G18" i="3"/>
  <c r="G17" i="3"/>
  <c r="G16" i="3"/>
  <c r="G15" i="3"/>
  <c r="G14" i="3"/>
  <c r="G13" i="3"/>
  <c r="G12" i="3"/>
  <c r="G11" i="3"/>
  <c r="G10" i="3"/>
  <c r="G9" i="3"/>
  <c r="G8" i="3"/>
  <c r="G7" i="3"/>
  <c r="G6" i="3"/>
  <c r="G5" i="3"/>
  <c r="F288" i="1" l="1"/>
  <c r="H281" i="1"/>
  <c r="I281" i="1" l="1"/>
  <c r="D315" i="1" s="1"/>
  <c r="L281" i="1"/>
  <c r="J281" i="1"/>
  <c r="H271" i="1"/>
  <c r="I271" i="1" s="1"/>
  <c r="D305" i="1" s="1"/>
  <c r="M281" i="1"/>
  <c r="F278" i="1"/>
  <c r="H288" i="1"/>
  <c r="I288" i="1" s="1"/>
  <c r="H278" i="1" l="1"/>
  <c r="I278" i="1" s="1"/>
  <c r="J288" i="1"/>
  <c r="L288" i="1"/>
  <c r="M288" i="1"/>
</calcChain>
</file>

<file path=xl/comments1.xml><?xml version="1.0" encoding="utf-8"?>
<comments xmlns="http://schemas.openxmlformats.org/spreadsheetml/2006/main">
  <authors>
    <author>NNQUE</author>
    <author>NNQue</author>
  </authors>
  <commentList>
    <comment ref="B37" authorId="0" shapeId="0">
      <text>
        <r>
          <rPr>
            <b/>
            <sz val="9"/>
            <color indexed="81"/>
            <rFont val="Tahoma"/>
            <family val="2"/>
          </rPr>
          <t>NNQUE:</t>
        </r>
        <r>
          <rPr>
            <sz val="9"/>
            <color indexed="81"/>
            <rFont val="Tahoma"/>
            <family val="2"/>
          </rPr>
          <t xml:space="preserve">
Conversion ratio from producer weight to consumer weight</t>
        </r>
      </text>
    </comment>
    <comment ref="C37" authorId="0" shapeId="0">
      <text>
        <r>
          <rPr>
            <b/>
            <sz val="9"/>
            <color indexed="81"/>
            <rFont val="Tahoma"/>
            <family val="2"/>
          </rPr>
          <t>NNQUE:</t>
        </r>
        <r>
          <rPr>
            <sz val="9"/>
            <color indexed="81"/>
            <rFont val="Tahoma"/>
            <family val="2"/>
          </rPr>
          <t xml:space="preserve">
Processing costs (as fraction of consumer price)</t>
        </r>
      </text>
    </comment>
    <comment ref="D37" authorId="0" shapeId="0">
      <text>
        <r>
          <rPr>
            <b/>
            <sz val="9"/>
            <color indexed="81"/>
            <rFont val="Tahoma"/>
            <family val="2"/>
          </rPr>
          <t>NNQUE:</t>
        </r>
        <r>
          <rPr>
            <sz val="9"/>
            <color indexed="81"/>
            <rFont val="Tahoma"/>
            <family val="2"/>
          </rPr>
          <t xml:space="preserve">
Commodity transportation cost adjustment factor</t>
        </r>
      </text>
    </comment>
    <comment ref="E37" authorId="0" shapeId="0">
      <text>
        <r>
          <rPr>
            <b/>
            <sz val="9"/>
            <color indexed="81"/>
            <rFont val="Tahoma"/>
            <family val="2"/>
          </rPr>
          <t>NNQUE:</t>
        </r>
        <r>
          <rPr>
            <sz val="9"/>
            <color indexed="81"/>
            <rFont val="Tahoma"/>
            <family val="2"/>
          </rPr>
          <t xml:space="preserve">
Extra cost of processing for export (D per kg)</t>
        </r>
      </text>
    </comment>
    <comment ref="F37" authorId="0" shapeId="0">
      <text>
        <r>
          <rPr>
            <b/>
            <sz val="9"/>
            <color indexed="81"/>
            <rFont val="Tahoma"/>
            <family val="2"/>
          </rPr>
          <t>NNQUE:</t>
        </r>
        <r>
          <rPr>
            <sz val="9"/>
            <color indexed="81"/>
            <rFont val="Tahoma"/>
            <family val="2"/>
          </rPr>
          <t xml:space="preserve">
Feed-meat conversion ratio</t>
        </r>
      </text>
    </comment>
    <comment ref="J304" authorId="1" shapeId="0">
      <text>
        <r>
          <rPr>
            <b/>
            <sz val="9"/>
            <color indexed="81"/>
            <rFont val="Tahoma"/>
            <family val="2"/>
          </rPr>
          <t>NNQue2019:</t>
        </r>
        <r>
          <rPr>
            <sz val="9"/>
            <color indexed="81"/>
            <rFont val="Tahoma"/>
            <family val="2"/>
          </rPr>
          <t xml:space="preserve">
Income growth multiplier</t>
        </r>
      </text>
    </comment>
    <comment ref="B325" authorId="1" shapeId="0">
      <text>
        <r>
          <rPr>
            <b/>
            <sz val="9"/>
            <color indexed="81"/>
            <rFont val="Tahoma"/>
            <family val="2"/>
          </rPr>
          <t>NNQue:</t>
        </r>
        <r>
          <rPr>
            <sz val="9"/>
            <color indexed="81"/>
            <rFont val="Tahoma"/>
            <family val="2"/>
          </rPr>
          <t xml:space="preserve">
VPM2010's Elas. =0.027</t>
        </r>
      </text>
    </comment>
    <comment ref="C325" authorId="1" shapeId="0">
      <text>
        <r>
          <rPr>
            <b/>
            <sz val="9"/>
            <color indexed="81"/>
            <rFont val="Tahoma"/>
            <family val="2"/>
          </rPr>
          <t>NNQue:</t>
        </r>
        <r>
          <rPr>
            <sz val="9"/>
            <color indexed="81"/>
            <rFont val="Tahoma"/>
            <family val="2"/>
          </rPr>
          <t xml:space="preserve">
VPM2010's Elas. =0.027</t>
        </r>
      </text>
    </comment>
    <comment ref="D325" authorId="1" shapeId="0">
      <text>
        <r>
          <rPr>
            <b/>
            <sz val="9"/>
            <color indexed="81"/>
            <rFont val="Tahoma"/>
            <family val="2"/>
          </rPr>
          <t>NNQue:</t>
        </r>
        <r>
          <rPr>
            <sz val="9"/>
            <color indexed="81"/>
            <rFont val="Tahoma"/>
            <family val="2"/>
          </rPr>
          <t xml:space="preserve">
VPM2010's Elas. =0.027</t>
        </r>
      </text>
    </comment>
    <comment ref="E325" authorId="1" shapeId="0">
      <text>
        <r>
          <rPr>
            <b/>
            <sz val="9"/>
            <color indexed="81"/>
            <rFont val="Tahoma"/>
            <family val="2"/>
          </rPr>
          <t>NNQue:</t>
        </r>
        <r>
          <rPr>
            <sz val="9"/>
            <color indexed="81"/>
            <rFont val="Tahoma"/>
            <family val="2"/>
          </rPr>
          <t xml:space="preserve">
VPM2010's Elas. =0.038</t>
        </r>
      </text>
    </comment>
    <comment ref="F325" authorId="1" shapeId="0">
      <text>
        <r>
          <rPr>
            <b/>
            <sz val="9"/>
            <color indexed="81"/>
            <rFont val="Tahoma"/>
            <family val="2"/>
          </rPr>
          <t>NNQue:</t>
        </r>
        <r>
          <rPr>
            <sz val="9"/>
            <color indexed="81"/>
            <rFont val="Tahoma"/>
            <family val="2"/>
          </rPr>
          <t xml:space="preserve">
VPM2010's Elas. =0.038</t>
        </r>
      </text>
    </comment>
    <comment ref="G325" authorId="1" shapeId="0">
      <text>
        <r>
          <rPr>
            <b/>
            <sz val="9"/>
            <color indexed="81"/>
            <rFont val="Tahoma"/>
            <family val="2"/>
          </rPr>
          <t>NNQue:</t>
        </r>
        <r>
          <rPr>
            <sz val="9"/>
            <color indexed="81"/>
            <rFont val="Tahoma"/>
            <family val="2"/>
          </rPr>
          <t xml:space="preserve">
VPM2010's Elas. =0.038</t>
        </r>
      </text>
    </comment>
    <comment ref="H325" authorId="1" shapeId="0">
      <text>
        <r>
          <rPr>
            <b/>
            <sz val="9"/>
            <color indexed="81"/>
            <rFont val="Tahoma"/>
            <family val="2"/>
          </rPr>
          <t>NNQue:</t>
        </r>
        <r>
          <rPr>
            <sz val="9"/>
            <color indexed="81"/>
            <rFont val="Tahoma"/>
            <family val="2"/>
          </rPr>
          <t xml:space="preserve">
VPM2010's Elas. =0.038</t>
        </r>
      </text>
    </comment>
    <comment ref="B329" authorId="1" shapeId="0">
      <text>
        <r>
          <rPr>
            <b/>
            <sz val="9"/>
            <color indexed="81"/>
            <rFont val="Tahoma"/>
            <family val="2"/>
          </rPr>
          <t>NNQue:</t>
        </r>
        <r>
          <rPr>
            <sz val="9"/>
            <color indexed="81"/>
            <rFont val="Tahoma"/>
            <family val="2"/>
          </rPr>
          <t xml:space="preserve">
VPM2010's Elas. =0.010</t>
        </r>
      </text>
    </comment>
    <comment ref="C329" authorId="1" shapeId="0">
      <text>
        <r>
          <rPr>
            <b/>
            <sz val="9"/>
            <color indexed="81"/>
            <rFont val="Tahoma"/>
            <family val="2"/>
          </rPr>
          <t>NNQue:</t>
        </r>
        <r>
          <rPr>
            <sz val="9"/>
            <color indexed="81"/>
            <rFont val="Tahoma"/>
            <family val="2"/>
          </rPr>
          <t xml:space="preserve">
VPM2010's Elas. =0.010</t>
        </r>
      </text>
    </comment>
    <comment ref="D329" authorId="1" shapeId="0">
      <text>
        <r>
          <rPr>
            <b/>
            <sz val="9"/>
            <color indexed="81"/>
            <rFont val="Tahoma"/>
            <family val="2"/>
          </rPr>
          <t>NNQue:</t>
        </r>
        <r>
          <rPr>
            <sz val="9"/>
            <color indexed="81"/>
            <rFont val="Tahoma"/>
            <family val="2"/>
          </rPr>
          <t xml:space="preserve">
VPM2010's Elas. =0.010</t>
        </r>
      </text>
    </comment>
    <comment ref="E329" authorId="1" shapeId="0">
      <text>
        <r>
          <rPr>
            <b/>
            <sz val="9"/>
            <color indexed="81"/>
            <rFont val="Tahoma"/>
            <family val="2"/>
          </rPr>
          <t>NNQue:</t>
        </r>
        <r>
          <rPr>
            <sz val="9"/>
            <color indexed="81"/>
            <rFont val="Tahoma"/>
            <family val="2"/>
          </rPr>
          <t xml:space="preserve">
VPM2010's Elas. =0.012</t>
        </r>
      </text>
    </comment>
    <comment ref="F329" authorId="1" shapeId="0">
      <text>
        <r>
          <rPr>
            <b/>
            <sz val="9"/>
            <color indexed="81"/>
            <rFont val="Tahoma"/>
            <family val="2"/>
          </rPr>
          <t>NNQue:</t>
        </r>
        <r>
          <rPr>
            <sz val="9"/>
            <color indexed="81"/>
            <rFont val="Tahoma"/>
            <family val="2"/>
          </rPr>
          <t xml:space="preserve">
VPM2010's Elas. =0.012</t>
        </r>
      </text>
    </comment>
    <comment ref="G329" authorId="1" shapeId="0">
      <text>
        <r>
          <rPr>
            <b/>
            <sz val="9"/>
            <color indexed="81"/>
            <rFont val="Tahoma"/>
            <family val="2"/>
          </rPr>
          <t>NNQue:</t>
        </r>
        <r>
          <rPr>
            <sz val="9"/>
            <color indexed="81"/>
            <rFont val="Tahoma"/>
            <family val="2"/>
          </rPr>
          <t xml:space="preserve">
VPM2010's Elas. =0.012</t>
        </r>
      </text>
    </comment>
    <comment ref="H329" authorId="1" shapeId="0">
      <text>
        <r>
          <rPr>
            <b/>
            <sz val="9"/>
            <color indexed="81"/>
            <rFont val="Tahoma"/>
            <family val="2"/>
          </rPr>
          <t>NNQue:</t>
        </r>
        <r>
          <rPr>
            <sz val="9"/>
            <color indexed="81"/>
            <rFont val="Tahoma"/>
            <family val="2"/>
          </rPr>
          <t xml:space="preserve">
VPM2010's Elas. =0.012</t>
        </r>
      </text>
    </comment>
  </commentList>
</comments>
</file>

<file path=xl/sharedStrings.xml><?xml version="1.0" encoding="utf-8"?>
<sst xmlns="http://schemas.openxmlformats.org/spreadsheetml/2006/main" count="2407" uniqueCount="341">
  <si>
    <t>THIS SHEET CONTAINS ALL INPUT DATA. Don’t add columns or rows without changing index</t>
  </si>
  <si>
    <t>Index</t>
  </si>
  <si>
    <t>rdim</t>
  </si>
  <si>
    <t>cdim</t>
  </si>
  <si>
    <t>PAR</t>
  </si>
  <si>
    <t>AREA0</t>
  </si>
  <si>
    <t>YIELD0</t>
  </si>
  <si>
    <t>PROD0</t>
  </si>
  <si>
    <t>CRPROD0</t>
  </si>
  <si>
    <t>LVPROD0</t>
  </si>
  <si>
    <t>DPC0</t>
  </si>
  <si>
    <t>PD0</t>
  </si>
  <si>
    <t>PDB</t>
  </si>
  <si>
    <t>IDEN1</t>
  </si>
  <si>
    <t>IDEN2</t>
  </si>
  <si>
    <t>KM</t>
  </si>
  <si>
    <t>YPC0</t>
  </si>
  <si>
    <t>POP0</t>
  </si>
  <si>
    <t>AREAE</t>
  </si>
  <si>
    <t>YIELDE</t>
  </si>
  <si>
    <t>LVELAS</t>
  </si>
  <si>
    <t>LVFDEL</t>
  </si>
  <si>
    <t>DYE</t>
  </si>
  <si>
    <t>DPE</t>
  </si>
  <si>
    <t>FDELAS</t>
  </si>
  <si>
    <t>URBAN</t>
  </si>
  <si>
    <t>RURAL</t>
  </si>
  <si>
    <t>MAIZE</t>
  </si>
  <si>
    <t>NMM</t>
  </si>
  <si>
    <t>RRD</t>
  </si>
  <si>
    <t>NCC</t>
  </si>
  <si>
    <t>SCC</t>
  </si>
  <si>
    <t>CH</t>
  </si>
  <si>
    <t>SE</t>
  </si>
  <si>
    <t>MRD</t>
  </si>
  <si>
    <t>Source: NNQue's estimates based on GSO's data</t>
  </si>
  <si>
    <t>TRADPIG</t>
  </si>
  <si>
    <t>COMMPIG</t>
  </si>
  <si>
    <t>MODPIG</t>
  </si>
  <si>
    <t>Source: from initial run</t>
  </si>
  <si>
    <t>M</t>
  </si>
  <si>
    <t>X</t>
  </si>
  <si>
    <t>ROAD</t>
  </si>
  <si>
    <t>SEA</t>
  </si>
  <si>
    <t>LINK</t>
  </si>
  <si>
    <t>Ha Noi - 7 NM dist (NNQue: 300)</t>
  </si>
  <si>
    <t>WORLD</t>
  </si>
  <si>
    <t>7 NM dist - (HN) - Hai Phong</t>
  </si>
  <si>
    <t>Ha Noi - Ha Tinh (NNQue: 341)</t>
  </si>
  <si>
    <t>Ha Noi - (HP) - HCM (NNQue:1719)</t>
  </si>
  <si>
    <t>Ha Noi - (HP) - Can Tho (NNQue:1888)</t>
  </si>
  <si>
    <t>Ha Noi - Hai Phong</t>
  </si>
  <si>
    <t>Ha Tinh - Binh Dinh (NNQue: 722)</t>
  </si>
  <si>
    <t>Ha Tinh-HN-Hai Phong (NNQue: 340+103)</t>
  </si>
  <si>
    <t>Binh Dinh - Dac Lac (NNQue: 368)</t>
  </si>
  <si>
    <t>Binh Dinh - HCM (NNQue: 649)</t>
  </si>
  <si>
    <t>Binh Dinh - Can Tho (NNQue: 854)</t>
  </si>
  <si>
    <t>Dac Lac - HCM (NNQue: 375)</t>
  </si>
  <si>
    <t>Dac Lac - HCM</t>
  </si>
  <si>
    <t>HCM - Can Tho (NNQue: road 168)</t>
  </si>
  <si>
    <t>(Ocean transp incl in world price)</t>
  </si>
  <si>
    <t>Source: NNQue's estimates based on VHLSS 2002:2012</t>
  </si>
  <si>
    <t>FOOD</t>
  </si>
  <si>
    <t>FEED</t>
  </si>
  <si>
    <t>Source: data used from Chinese CAPSim model (CCAP)</t>
  </si>
  <si>
    <t>TABLE LVFDEL(L,F)  Elasticity of livestock supply wrt feed prices</t>
  </si>
  <si>
    <t>TABLE  DYE(C,R,U) Food demand elasticity wrt consumer income (AIDS V01)</t>
  </si>
  <si>
    <t>Source: CAP's Estimates using AIDS Model &amp; data of VHLSS 2002:2012</t>
  </si>
  <si>
    <t>TABLE DPE(C,CC,R,U) Food demand elasticities wrt food prices (AIDS V01)</t>
  </si>
  <si>
    <t>TABLE FDELAS(F,F) Elasticity feed Demand wrt feed own prices</t>
  </si>
  <si>
    <t>CONV</t>
  </si>
  <si>
    <t>CTA</t>
  </si>
  <si>
    <t>XPRO</t>
  </si>
  <si>
    <t>FEEDSHARE</t>
  </si>
  <si>
    <t>(NNQue: data parameters with more than 2 dimentions are stored in excel tables)</t>
  </si>
  <si>
    <t xml:space="preserve">Contributions by: </t>
  </si>
  <si>
    <t>Title of scenario:</t>
  </si>
  <si>
    <t>NOTE: Any changes to data must be saved</t>
  </si>
  <si>
    <t>before the updated data is used in the model.</t>
  </si>
  <si>
    <t xml:space="preserve">It is developed within the General Algebraic Modeling System (GAMS) framework. </t>
  </si>
  <si>
    <r>
      <rPr>
        <b/>
        <i/>
        <sz val="12"/>
        <rFont val="Times New Roman"/>
        <family val="1"/>
      </rPr>
      <t>V</t>
    </r>
    <r>
      <rPr>
        <i/>
        <sz val="12"/>
        <rFont val="Times New Roman"/>
        <family val="1"/>
      </rPr>
      <t xml:space="preserve">ietnam </t>
    </r>
    <r>
      <rPr>
        <b/>
        <i/>
        <sz val="12"/>
        <rFont val="Times New Roman"/>
        <family val="1"/>
      </rPr>
      <t>Pig</t>
    </r>
    <r>
      <rPr>
        <i/>
        <sz val="12"/>
        <rFont val="Times New Roman"/>
        <family val="1"/>
      </rPr>
      <t xml:space="preserve"> </t>
    </r>
    <r>
      <rPr>
        <b/>
        <i/>
        <sz val="12"/>
        <rFont val="Times New Roman"/>
        <family val="1"/>
      </rPr>
      <t>S</t>
    </r>
    <r>
      <rPr>
        <i/>
        <sz val="12"/>
        <rFont val="Times New Roman"/>
        <family val="1"/>
      </rPr>
      <t>ec</t>
    </r>
    <r>
      <rPr>
        <b/>
        <i/>
        <sz val="12"/>
        <rFont val="Times New Roman"/>
        <family val="1"/>
      </rPr>
      <t>T</t>
    </r>
    <r>
      <rPr>
        <i/>
        <sz val="12"/>
        <rFont val="Times New Roman"/>
        <family val="1"/>
      </rPr>
      <t xml:space="preserve">or </t>
    </r>
    <r>
      <rPr>
        <b/>
        <i/>
        <sz val="12"/>
        <rFont val="Times New Roman"/>
        <family val="1"/>
      </rPr>
      <t>M</t>
    </r>
    <r>
      <rPr>
        <i/>
        <sz val="12"/>
        <rFont val="Times New Roman"/>
        <family val="1"/>
      </rPr>
      <t>odel</t>
    </r>
  </si>
  <si>
    <t>VPM is a dynamic, spatial equilibrium model of Vietnam's pig sector.</t>
  </si>
  <si>
    <t>TABLE YGR(R,U) Annual income growth 2015-2025 (fraction)</t>
  </si>
  <si>
    <t>TABLE PGR(R,U) Annual population growth 2015-2025 (fraction)</t>
  </si>
  <si>
    <t>YGR</t>
  </si>
  <si>
    <t>PGR</t>
  </si>
  <si>
    <t>Base Simulation</t>
  </si>
  <si>
    <t>PMARGPR</t>
  </si>
  <si>
    <t>ADJ</t>
  </si>
  <si>
    <t>TABLE AREA0(F,R,U) Original crop area for urban-rural consumption 2014 (1000ha)</t>
  </si>
  <si>
    <t>TABLE CRPROD0(F,R,U) Original production for urban-rural cons. 2014 (1000tons)</t>
  </si>
  <si>
    <t>TABLE LVPROD0(L,R,U) Original lvstck prodtn for urban-rural cons. 2014 (1000tons LW)</t>
  </si>
  <si>
    <t>TABLE DPC0(C,R,U) Original per capita food cons. 2014 (kg per per year)</t>
  </si>
  <si>
    <t>TABLE PD0(C,R,U) Original consumer price 2014 (Dong per kg)</t>
  </si>
  <si>
    <t>TABLE PDB(C,R,U)  Base scenario consumer price (Dong per kg)</t>
  </si>
  <si>
    <t>TABLE PW0(C,*) Original world prices 2014 (US$ per ton)</t>
  </si>
  <si>
    <t>TABLE TRADE(C,*) Import and export volumes 2014 (1000 tons)</t>
  </si>
  <si>
    <t>TABLE IDEN1(C,F)  Identity matrix for proper dimension of feed demand in inflows</t>
  </si>
  <si>
    <t>TABLE IDEN2(C,L)  Identity matrix for proper dimension of lstck Supply in outflows</t>
  </si>
  <si>
    <t>TABLE KM(RW,RRW,*) Distance (km)</t>
  </si>
  <si>
    <t>PARAMETERS</t>
  </si>
  <si>
    <t>Source: NNQue's estimates based on GSO's 2000:2014</t>
  </si>
  <si>
    <t>National average YGR = 0.050</t>
  </si>
  <si>
    <t>TABLE YIELD0(F,R,U) Original crop yield for urban-rural consumers 2014 (ton per har)</t>
  </si>
  <si>
    <t>TABLE PROD0(C,R,U) Original production oriented for urban &amp; rural consumer groups 2014 (1000tons)</t>
  </si>
  <si>
    <t>National average PGR = 0.0105</t>
  </si>
  <si>
    <t>TABLE YPC0(R,U)   Urban &amp; rural per capita income in 2013 (m Dong per person per yr)</t>
  </si>
  <si>
    <t>TABLE POP0(R,U)    Urban &amp; rural population in 2014 (1000 inhabitants)</t>
  </si>
  <si>
    <t>Source:  GSO and USDA trade data  for 2014.</t>
  </si>
  <si>
    <t>TABLE FEEDSHARE(L,F) Share of each feed in total composite feed demand (fraction)</t>
  </si>
  <si>
    <t>TABLE ADJ(C,*) Adjustment factor to match VHLSS consumption with national data.</t>
  </si>
  <si>
    <t>FEEDCONV</t>
  </si>
  <si>
    <t>MPAR</t>
  </si>
  <si>
    <t>TABLE MPAR(C,*) Market parameters</t>
  </si>
  <si>
    <t>PW0</t>
  </si>
  <si>
    <t>TRADE</t>
  </si>
  <si>
    <t>TABLE AREAE(F,R)  Elasticity of crop area wrt output price</t>
  </si>
  <si>
    <t>TABLE YIELDE(F,R) Elasticity of crop yield wrt output price</t>
  </si>
  <si>
    <t>TABLE LVELAS(L,LL,R) Elasticity of livestock supply wrt output prices</t>
  </si>
  <si>
    <t>YIELDE(F,R) = A324:H325</t>
  </si>
  <si>
    <t>AREAE(F,R) = A320:H321</t>
  </si>
  <si>
    <t>LVELAS(L,LL,R) = A328:I337</t>
  </si>
  <si>
    <t>LVFDEL(L,F) = A340:B343</t>
  </si>
  <si>
    <t>DYE(C,R,U) = A346:D374</t>
  </si>
  <si>
    <t>INPUT!A320:H321</t>
  </si>
  <si>
    <t>MPAR(C,*) = (A34:F38)</t>
  </si>
  <si>
    <t>AREA0(F,R,U) = A41:D48</t>
  </si>
  <si>
    <t>YIELD(F,R,U) = A51:D58</t>
  </si>
  <si>
    <t>PROD0(C,R,U) = A61:D89</t>
  </si>
  <si>
    <t>CRPROD0(F,R,U) = A92:D99</t>
  </si>
  <si>
    <t>LVPROD0(L,R,U) = A102:D123</t>
  </si>
  <si>
    <t>DPC0(C,R,U) = A126:D154</t>
  </si>
  <si>
    <t>PD0(C,R,U) = A157:D185</t>
  </si>
  <si>
    <t>PDB(C,R,U) = A188:D216</t>
  </si>
  <si>
    <t>PW0(C,*) = A219:C223</t>
  </si>
  <si>
    <t>TRADE(C,*) = A226:C230</t>
  </si>
  <si>
    <t>IDEN1(C,F) = A233:B237</t>
  </si>
  <si>
    <t>IDEN2(C,L) = A240:D244</t>
  </si>
  <si>
    <t>KM(RW,RRW,*) = A247:E264</t>
  </si>
  <si>
    <t>YPC0(R,U) = A267:C274</t>
  </si>
  <si>
    <t>POP0(R,U) = A277:C284</t>
  </si>
  <si>
    <t>FEEDSHARE(L,F) = A287:B290</t>
  </si>
  <si>
    <t>ADJ(C,*) = A293:C297</t>
  </si>
  <si>
    <t>YGR(R,U) = A300:C307</t>
  </si>
  <si>
    <t>PGR(R,U) = A310:C317</t>
  </si>
  <si>
    <t>INPUT!A34:F38</t>
  </si>
  <si>
    <t>INPUT!A41:D48</t>
  </si>
  <si>
    <t>INPUT!A51:D58</t>
  </si>
  <si>
    <t>INPUT!A61:D89</t>
  </si>
  <si>
    <t>INPUT!A92:D99</t>
  </si>
  <si>
    <t>INPUT!A102:D123</t>
  </si>
  <si>
    <t>INPUT!A126:D154</t>
  </si>
  <si>
    <t>INPUT!A157:D185</t>
  </si>
  <si>
    <t>INPUT!A188:D216</t>
  </si>
  <si>
    <t>INPUT!A219:C223</t>
  </si>
  <si>
    <t>INPUT!A226:C230</t>
  </si>
  <si>
    <t>INPUT!A233:B237</t>
  </si>
  <si>
    <t>INPUT!A240:D244</t>
  </si>
  <si>
    <t>INPUT!A247:E264</t>
  </si>
  <si>
    <t>INPUT!A267:C274</t>
  </si>
  <si>
    <t>INPUT!A277:C284</t>
  </si>
  <si>
    <t>INPUT!A287:B290</t>
  </si>
  <si>
    <t>INPUT!A293:C297</t>
  </si>
  <si>
    <t>INPUT!A300:C307</t>
  </si>
  <si>
    <t>INPUT!A310:C317</t>
  </si>
  <si>
    <t>INPUT!A324:H325</t>
  </si>
  <si>
    <t>INPUT!A328:I337</t>
  </si>
  <si>
    <t>INPUT!A340:B343</t>
  </si>
  <si>
    <t>INPUT!A346:D374</t>
  </si>
  <si>
    <t>DPE(C,CC,R,U) = A377:E489</t>
  </si>
  <si>
    <t>FDELAS(F,F) = A492:B493</t>
  </si>
  <si>
    <t>INPUT!A377:E489</t>
  </si>
  <si>
    <t>INPUT!A492:B493</t>
  </si>
  <si>
    <t>Add more indeces to a parameter</t>
  </si>
  <si>
    <t>Nick Minot</t>
  </si>
  <si>
    <t>Karl Rich</t>
  </si>
  <si>
    <t>Nguyen Ngoc Que</t>
  </si>
  <si>
    <t>MPAR(C,*,R,U) ;</t>
  </si>
  <si>
    <t>MPAR(C,'CONV',R,U) = MPAR(C,'CONV') ;</t>
  </si>
  <si>
    <t>MPAR(C,'PMARGPR',R,U) = MPAR(C,'PMARGPR') ;</t>
  </si>
  <si>
    <t>MPAR(C,'CTA',R,U) = MPAR(C,'CTA') ;</t>
  </si>
  <si>
    <t>MPAR(C,'XPRO',R,U) = MPAR(C,'XPRO') ;</t>
  </si>
  <si>
    <t>MPAR(C,'FEEDCONV',R,U) = MPAR(C,'FEEDCONV') ;</t>
  </si>
  <si>
    <t>PWGR(T,C) World Commodity Price Annual Growth Rate (fraction)</t>
  </si>
  <si>
    <t>PWGR</t>
  </si>
  <si>
    <t>TOTAL</t>
  </si>
  <si>
    <t>DYE(C,'VNM')</t>
  </si>
  <si>
    <t>DPE(C,R)</t>
  </si>
  <si>
    <t>DPE(C,'VNM')</t>
  </si>
  <si>
    <t>DPE(C,'VNM') &amp; DYE(C,'VNM')</t>
  </si>
  <si>
    <t>Y</t>
  </si>
  <si>
    <t>VNM</t>
  </si>
  <si>
    <t xml:space="preserve">NNQue: in 2014 transportation cost by sea from HP to SGN (1720Km) is about 200USD for 1 container of 25 tons </t>
  </si>
  <si>
    <t>It is about 99 VND for 1TKM</t>
  </si>
  <si>
    <t>PW reduce by 1% due to free trade</t>
  </si>
  <si>
    <t>TABLE FEEDSHARE(L,F) Share of each component feed in total composite feed demand (fraction)</t>
  </si>
  <si>
    <t>TABLE DFEED0(C,R,U)   Original feed use for producing pork consumed domestically (1000 tons)</t>
  </si>
  <si>
    <t>NNQue's note: the distribution of commodity production for urban &amp; rural consumer groups is proportional to the rural &amp; urban consumption</t>
  </si>
  <si>
    <t>Urban share</t>
  </si>
  <si>
    <t>2025 POP</t>
  </si>
  <si>
    <t>Pop growth, %</t>
  </si>
  <si>
    <t>Inc. growth, %</t>
  </si>
  <si>
    <t>YPC2025</t>
  </si>
  <si>
    <t>Aver. Pop Weight</t>
  </si>
  <si>
    <t>PGRM</t>
  </si>
  <si>
    <t>YGRM</t>
  </si>
  <si>
    <t>NNQue: Do only one initial run to fill-in the PDB Table (before initial run put PDB=PD0)</t>
  </si>
  <si>
    <t>TABLE AREA0(F,R,U) Original crop area for urban-rural consumption 2018 (1000ha)</t>
  </si>
  <si>
    <t>TABLE YIELD0(F,R,U) Original crop yield for urban-rural consumers 2018 (ton per har)</t>
  </si>
  <si>
    <t>TABLE PROD0(C,R,U) Original production oriented for urban &amp; rural consumer groups 2018 (1000tons)</t>
  </si>
  <si>
    <t>TABLE POP0(R,U)    Urban &amp; rural population in 2018 (1000 inhabitants)</t>
  </si>
  <si>
    <t>TABLE CRPROD0(F,R,U) Original production for urban-rural cons. 2018 (1000tons)</t>
  </si>
  <si>
    <t>TABLE LVPROD0(L,R,U) Original lvstck prodtn for urban-rural cons. 2018 (1000tons LW)</t>
  </si>
  <si>
    <t>TABLE DPC0(C,R,U) Original per capita food cons. 2018 (kg per per year)</t>
  </si>
  <si>
    <t>TABLE PD0(C,R,U) Original consumer price 2018 (Dong per kg)</t>
  </si>
  <si>
    <t>TABLE TRADE(C,*) Import and export volumes 2018 (1000 tons)</t>
  </si>
  <si>
    <t>TABLE YPC0(R,U)   Urban &amp; rural per capita income in 2018 (m Dong per person per yr)</t>
  </si>
  <si>
    <t>TABLE DFOOD0(C,R,U) Original food demand in 2018 (1000 tons)</t>
  </si>
  <si>
    <t>Total</t>
  </si>
  <si>
    <t>Original YGR 2018-25</t>
  </si>
  <si>
    <t>Original PGR 2018-25 (fraction)</t>
  </si>
  <si>
    <t>TABLE PGR(R,U) Annual population growth 2018-2025 (fraction)</t>
  </si>
  <si>
    <t>TABLE DFEED0(C,R,U)   Original total maize consumption by humand and animals (pigs), 1000 tons</t>
  </si>
  <si>
    <t>Source:  Customs Office and USDA trade data  for 2018</t>
  </si>
  <si>
    <t>For the Model Input we have to use the derived PD0(MAIZE) based on PS(MAIZE) calculated from VHLSS2018)</t>
  </si>
  <si>
    <t>NNQue2019: Maize Consumer Unit Price calculated by IPSARD from VHLSS2018 raw data is very high (3 times higher than Producer Unit Price)</t>
  </si>
  <si>
    <t>The PDB numbers in blue color mean PDB are already calibrated after initial run (PDB is now different from PD0)</t>
  </si>
  <si>
    <t>TABLE YGR(R,U) Annual income growth 2018-2025 (fraction)</t>
  </si>
  <si>
    <t>INDEX</t>
  </si>
  <si>
    <t>TAX0</t>
  </si>
  <si>
    <t>Average</t>
  </si>
  <si>
    <t>Average less 1 percent point</t>
  </si>
  <si>
    <t xml:space="preserve">We may develop two version for VPM2018: </t>
  </si>
  <si>
    <t>NNQue2019: Annual DPC0 for Maize in 2018 derived from VHLSS2018 by Thuy_IPSARD is rather high (4 times higher as compared to that of 2012 &amp; before</t>
  </si>
  <si>
    <t xml:space="preserve">NNQue: We may use the Ratio of "Formula-Derived PD0" vs. "VHLSS-Calculated PD0" to adjust the VHLSS-Calculated DPC0 for maize in 2018  </t>
  </si>
  <si>
    <t>DPC0(Maize) are adjusted annual Maize DPC calculated by Thuy_IPSARD</t>
  </si>
  <si>
    <t>MZShare Old</t>
  </si>
  <si>
    <t>TABLE TAX0(C,*) Original taxes 2018 (fraction)</t>
  </si>
  <si>
    <t>NNQue2019: the old table for VPM2014</t>
  </si>
  <si>
    <t>Source: Maize WP from WB Commodity Markets Outlook, Oct 2019</t>
  </si>
  <si>
    <t>Source: Pigmeat WP from WB Commodity Markets Outlook, 2015</t>
  </si>
  <si>
    <t>Maize</t>
  </si>
  <si>
    <t>Pork</t>
  </si>
  <si>
    <t>AREA</t>
  </si>
  <si>
    <t>YIELD</t>
  </si>
  <si>
    <t>FEEDLVEL</t>
  </si>
  <si>
    <t>INPUT!A37:F41</t>
  </si>
  <si>
    <t>INPUT!A44:D51</t>
  </si>
  <si>
    <t>INPUT!A54:D61</t>
  </si>
  <si>
    <t>INPUT!A64:D92</t>
  </si>
  <si>
    <t>INPUT!A95:D102</t>
  </si>
  <si>
    <t>INPUT!A105:D126</t>
  </si>
  <si>
    <t>INPUT!A129:D157</t>
  </si>
  <si>
    <t>INPUT!A160:D188</t>
  </si>
  <si>
    <t>INPUT!A191:D219</t>
  </si>
  <si>
    <t>INPUT!A222:C226</t>
  </si>
  <si>
    <t>INPUT!A229:C233</t>
  </si>
  <si>
    <t>INPUT!A236:B240</t>
  </si>
  <si>
    <t>INPUT!A243:D247</t>
  </si>
  <si>
    <t>INPUT!A250:E267</t>
  </si>
  <si>
    <t>INPUT!A270:C277</t>
  </si>
  <si>
    <t>INPUT!A280:C287</t>
  </si>
  <si>
    <t>INPUT!A291:B294</t>
  </si>
  <si>
    <t>INPUT!A297:C301</t>
  </si>
  <si>
    <t>INPUT!A304:C311</t>
  </si>
  <si>
    <t>INPUT!A314:C321</t>
  </si>
  <si>
    <t>INPUT!A328:H329</t>
  </si>
  <si>
    <t>INPUT!A332:I341</t>
  </si>
  <si>
    <t>INPUT!A344:B347</t>
  </si>
  <si>
    <t>INPUT!A350:D378</t>
  </si>
  <si>
    <t>INPUT!A381:E493</t>
  </si>
  <si>
    <t>INPUT!A496:B497</t>
  </si>
  <si>
    <t>INPUT!A500:E513</t>
  </si>
  <si>
    <t>INPUT!A518:C522</t>
  </si>
  <si>
    <r>
      <rPr>
        <u/>
        <sz val="12"/>
        <color theme="1"/>
        <rFont val="Times New Roman"/>
        <family val="1"/>
      </rPr>
      <t>Version01</t>
    </r>
    <r>
      <rPr>
        <sz val="12"/>
        <color theme="1"/>
        <rFont val="Times New Roman"/>
        <family val="1"/>
      </rPr>
      <t xml:space="preserve"> - Keep the level of DPC0 for Maize in 2018 as high as calculated by IPSARD's staff;</t>
    </r>
  </si>
  <si>
    <r>
      <rPr>
        <u/>
        <sz val="12"/>
        <color theme="1"/>
        <rFont val="Times New Roman"/>
        <family val="1"/>
      </rPr>
      <t>Version02</t>
    </r>
    <r>
      <rPr>
        <sz val="12"/>
        <color theme="1"/>
        <rFont val="Times New Roman"/>
        <family val="1"/>
      </rPr>
      <t xml:space="preserve"> - Reduce the DPC0 for Maize in 2018  to be consistent with the previuos level of 2002-2012 </t>
    </r>
  </si>
  <si>
    <t>TABLE FEEDLVEL(F,L,*)  Elasticity of feed crop area/yield wrt livestock prices</t>
  </si>
  <si>
    <t>AREALVEL</t>
  </si>
  <si>
    <t>YIELDLVEL</t>
  </si>
  <si>
    <t>PS0</t>
  </si>
  <si>
    <t>LVFDEL(L,F)  Elasticity of livestock supply wrt feed prices</t>
  </si>
  <si>
    <t>Source: calculated from VPM2018</t>
  </si>
  <si>
    <t>Source: compiled by Nick Minot &amp; Karl R. in VPM2010</t>
  </si>
  <si>
    <t>PS0(L,F) &amp; PROD0(L,F) National Average Producer price &amp; Production in 2018</t>
  </si>
  <si>
    <t>VAPSim Maize Area Own Price EL.</t>
  </si>
  <si>
    <t>VAPSim Maize Yield Own Price EL.</t>
  </si>
  <si>
    <t>NNQue2019: The Maize Own Price Elasticities of VPM2010 &amp; 2014 seem to be quite low,</t>
  </si>
  <si>
    <t xml:space="preserve">Thus in VPM2018 the maize own price elasticities are revised using elasticities in VAPSim &amp; CAPSim models. </t>
  </si>
  <si>
    <t>PS = 0.5*(1-0.09)*PD = 0.455*PD (for pork)</t>
  </si>
  <si>
    <t>PS = 0.9*(1-0.15)*PD = 0.765*PD (for maize)</t>
  </si>
  <si>
    <t>FDCONV</t>
  </si>
  <si>
    <t>MZShare</t>
  </si>
  <si>
    <t>MZFEED</t>
  </si>
  <si>
    <t>MZFDShare</t>
  </si>
  <si>
    <t>PKSHARE</t>
  </si>
  <si>
    <t>Supply Own &amp; Cross Price Elasticity</t>
  </si>
  <si>
    <t>INPUT!A526:D527</t>
  </si>
  <si>
    <t>INPUT!A531:I532</t>
  </si>
  <si>
    <r>
      <t xml:space="preserve">In the area of </t>
    </r>
    <r>
      <rPr>
        <b/>
        <sz val="12"/>
        <color rgb="FFFF0000"/>
        <rFont val="Times New Roman"/>
        <family val="1"/>
      </rPr>
      <t>A3:AFD35</t>
    </r>
    <r>
      <rPr>
        <sz val="12"/>
        <color rgb="FFFF0000"/>
        <rFont val="Times New Roman"/>
        <family val="1"/>
      </rPr>
      <t xml:space="preserve"> there must be nothing except the INDEX table. And between </t>
    </r>
    <r>
      <rPr>
        <b/>
        <sz val="12"/>
        <color rgb="FFFF0000"/>
        <rFont val="Times New Roman"/>
        <family val="1"/>
      </rPr>
      <t>INDEX</t>
    </r>
    <r>
      <rPr>
        <sz val="12"/>
        <color rgb="FFFF0000"/>
        <rFont val="Times New Roman"/>
        <family val="1"/>
      </rPr>
      <t xml:space="preserve"> Table and the </t>
    </r>
    <r>
      <rPr>
        <b/>
        <sz val="12"/>
        <color rgb="FFFF0000"/>
        <rFont val="Times New Roman"/>
        <family val="1"/>
      </rPr>
      <t>Next Table</t>
    </r>
    <r>
      <rPr>
        <sz val="12"/>
        <color rgb="FFFF0000"/>
        <rFont val="Times New Roman"/>
        <family val="1"/>
      </rPr>
      <t xml:space="preserve"> there is at least one blank row.</t>
    </r>
  </si>
  <si>
    <t>INPUT!A536:D539</t>
  </si>
  <si>
    <t>AREALVEL(F,L) Elasticity of feed crop area wrt livestock prices</t>
  </si>
  <si>
    <t>YIELDLVEL(F,L) Elasticity of feed crop yield wrt livestock prices</t>
  </si>
  <si>
    <t>Source: NNQue derived from LVFDEL</t>
  </si>
  <si>
    <r>
      <t>F</t>
    </r>
    <r>
      <rPr>
        <b/>
        <sz val="12"/>
        <color rgb="FFFF0000"/>
        <rFont val="Times New Roman"/>
        <family val="1"/>
      </rPr>
      <t>D</t>
    </r>
    <r>
      <rPr>
        <b/>
        <sz val="12"/>
        <color theme="1"/>
        <rFont val="Times New Roman"/>
        <family val="1"/>
      </rPr>
      <t>LVEL(F,L) Elasticity of Feed demand wrt livestock price</t>
    </r>
  </si>
  <si>
    <t>Source: Nick &amp; Karl derived from LVFDEL for VPM2010</t>
  </si>
  <si>
    <t>MAIZE (NNQue)</t>
  </si>
  <si>
    <t>MAIZE (Nick&amp;Karl)</t>
  </si>
  <si>
    <t>NNQue2019: Add this Table FSLVEL(F,L) in GAM Code</t>
  </si>
  <si>
    <r>
      <t>F</t>
    </r>
    <r>
      <rPr>
        <b/>
        <sz val="12"/>
        <color rgb="FFFF0000"/>
        <rFont val="Times New Roman"/>
        <family val="1"/>
      </rPr>
      <t>S</t>
    </r>
    <r>
      <rPr>
        <b/>
        <sz val="12"/>
        <color theme="1"/>
        <rFont val="Times New Roman"/>
        <family val="1"/>
      </rPr>
      <t>LVEL(F,L) Elasticity of Feed Area/Yield Supply wrt livestock price</t>
    </r>
  </si>
  <si>
    <t>NNQue2019: Need to revise the formular for FDLVEL(F,L) in GAM Code of VPM2010/14</t>
  </si>
  <si>
    <t>In VPM2018 there are some changes in the Model Structure as following:</t>
  </si>
  <si>
    <t>FDLVEL(F,L)=-LVFDEL(L,F)*[PS0(L)/PS0(F)]*[S0(L)/S0(F)]</t>
  </si>
  <si>
    <t>The S0(L) are total supply of TRADPIG, COMMPIG &amp; MODPIG, but</t>
  </si>
  <si>
    <t xml:space="preserve">S0(F) is total supply of all maize including maize for human &amp; other use. </t>
  </si>
  <si>
    <t>Actually we need the supply of maize feed for each type of pigs: TRADPIG, COMMPIG &amp; MODPIG.</t>
  </si>
  <si>
    <t>FDLVEL(F,L)=-LVFDEL(L,F)*[PS0(L)/PS0(F)]*[S0(L)/S0(L)*FEEDCONV(L,F)*FEEDSHARE(F)]</t>
  </si>
  <si>
    <t>Using the new formula we get the values of FDLVEL(F,L): 0.159 for TRADPIG, 0.143 for COMMPIG and 0.170 for MODPIG</t>
  </si>
  <si>
    <t>FDLVEL(F,L) Elasticity of feed demand wrt livestock price</t>
  </si>
  <si>
    <t>MAIZE (Old)</t>
  </si>
  <si>
    <t>MAIZE (New)</t>
  </si>
  <si>
    <t xml:space="preserve">3) The original Feed Crop Area/Yield  function has only owm-price elasticity, we would add some cross-price elasticity into the function </t>
  </si>
  <si>
    <t>to have the relation of feed crop area/yield with livestock price changes, i.e. AREALVEL(F,L) &amp; YIELDLVEL(F,L)</t>
  </si>
  <si>
    <t xml:space="preserve">The AREALVEL(F,L) &amp; YIELDLVEL(F,L) are also derived from LVFDEL(L,F) using the relation of the feed-type share and pig-type share, i.e. </t>
  </si>
  <si>
    <t>the share of feed used for TRADPIG/COMMPIG/MODPIG in total feed use and the share of TRADPIG/COMMPIG/MODPIG in total pork output supply.</t>
  </si>
  <si>
    <r>
      <rPr>
        <b/>
        <u/>
        <sz val="12"/>
        <color theme="1"/>
        <rFont val="Times New Roman"/>
        <family val="1"/>
      </rPr>
      <t>NNQue2019</t>
    </r>
    <r>
      <rPr>
        <b/>
        <sz val="12"/>
        <color theme="1"/>
        <rFont val="Times New Roman"/>
        <family val="1"/>
      </rPr>
      <t>:</t>
    </r>
  </si>
  <si>
    <r>
      <t xml:space="preserve">NNQue2019'note: VPM2018 Version-03 adds Elasticity of Feed Crop Area &amp; Yield with respect to the Livestock Price into the Area &amp; Yield Equatons, i.e. </t>
    </r>
    <r>
      <rPr>
        <b/>
        <i/>
        <sz val="12"/>
        <color rgb="FFFF0000"/>
        <rFont val="Times New Roman"/>
        <family val="1"/>
      </rPr>
      <t>AREALVEL(F,L) &amp; YIELDLVEL(F,L)</t>
    </r>
  </si>
  <si>
    <r>
      <rPr>
        <b/>
        <sz val="12"/>
        <color rgb="FFFF0000"/>
        <rFont val="Times New Roman"/>
        <family val="1"/>
      </rPr>
      <t>PWGM</t>
    </r>
    <r>
      <rPr>
        <b/>
        <sz val="12"/>
        <color theme="1"/>
        <rFont val="Times New Roman"/>
        <family val="1"/>
      </rPr>
      <t>: PW will reduce by 1% due to FTAs</t>
    </r>
  </si>
  <si>
    <t xml:space="preserve">The FEEDLVEL(F,L,*) is a Table combining 2 Tables, AREALVEL(F,L) &amp; YIELDLVEL(F,L) into one. </t>
  </si>
  <si>
    <t>Version 2018</t>
  </si>
  <si>
    <t>December 2019</t>
  </si>
  <si>
    <t>Data from this worksheet is read into the VPM2014 GAMS files.</t>
  </si>
  <si>
    <t xml:space="preserve">NNQue2019: The preliminary 2018 maize production of 4905.9 thous. tons in GSO's 2018 Year Book is replaced with 4877.4 thous. tons. </t>
  </si>
  <si>
    <t xml:space="preserve">This data update is based on newest information from GSO's Dec2020 Report on Vietnam Social Enonomics of 4 Quarter 2019, </t>
  </si>
  <si>
    <t>i.e. maize production is reduced from 4877.4 in  2018 to 4760 thous. tons in 2019.</t>
  </si>
  <si>
    <t>1) The Elasticity of Feed Crop Supply, i.e. Maize Area &amp; Yield, with respect to its own output prices in VPM2010 &amp; 2014 are set at very low level.</t>
  </si>
  <si>
    <t>The overal feed crop supply elasticity w.r.t. own price turns out to be less than 0.05, but it would be as normal level of about 0.5.</t>
  </si>
  <si>
    <t>Thus, for VPM2018 elasticity of maize supply is revised based on information from VAPSim &amp; CAPSim models.</t>
  </si>
  <si>
    <t xml:space="preserve">2) The previuos Formula of VPM2010 to derive the elasticity of feed demand wrt to livestock price FDLVEL(F,L) from Elasticity of livestock supply wrt to feed price LVFDEL(L,F) is corrected as following: </t>
  </si>
  <si>
    <t>The old formula in VPM2010 &amp; 2014:</t>
  </si>
  <si>
    <t>Using the old formula we get some abnormal values for FDLVEL(F,L): 0.055 for TRADPIG, 0.112 for COMMPIG and 0.013 for MODPIG</t>
  </si>
  <si>
    <t>The new formular revised by NNQue2019: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</si>
</sst>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42" x14ac:knownFonts="1">
    <font>
      <sz val="12"/>
      <color theme="1"/>
      <name val="Times New Roman"/>
      <family val="2"/>
    </font>
    <font>
      <i/>
      <sz val="12"/>
      <name val="Times New Roman"/>
      <family val="1"/>
    </font>
    <font>
      <b/>
      <sz val="12"/>
      <name val="Times New Roman"/>
      <family val="1"/>
    </font>
    <font>
      <sz val="12"/>
      <name val="Times New Roman"/>
      <family val="1"/>
    </font>
    <font>
      <sz val="10"/>
      <name val="Arial"/>
      <family val="2"/>
    </font>
    <font>
      <b/>
      <sz val="10"/>
      <name val="Arial"/>
      <family val="2"/>
    </font>
    <font>
      <i/>
      <sz val="10"/>
      <name val="Arial"/>
      <family val="2"/>
    </font>
    <font>
      <u/>
      <sz val="7.5"/>
      <color indexed="12"/>
      <name val="Arial"/>
      <family val="2"/>
    </font>
    <font>
      <b/>
      <i/>
      <sz val="12"/>
      <name val="Times New Roman"/>
      <family val="1"/>
    </font>
    <font>
      <sz val="10"/>
      <color theme="1"/>
      <name val="Arial"/>
      <family val="2"/>
    </font>
    <font>
      <sz val="12"/>
      <color rgb="FFFF0000"/>
      <name val="Times New Roman"/>
      <family val="2"/>
    </font>
    <font>
      <b/>
      <sz val="12"/>
      <color theme="1"/>
      <name val="Times New Roman"/>
      <family val="1"/>
    </font>
    <font>
      <i/>
      <sz val="12"/>
      <color theme="1"/>
      <name val="Times New Roman"/>
      <family val="1"/>
    </font>
    <font>
      <sz val="12"/>
      <color theme="1"/>
      <name val="Times New Roman"/>
      <family val="1"/>
    </font>
    <font>
      <b/>
      <sz val="12"/>
      <color rgb="FFFF0000"/>
      <name val="Arial"/>
      <family val="2"/>
    </font>
    <font>
      <sz val="10"/>
      <color rgb="FFFF0000"/>
      <name val="Arial"/>
      <family val="2"/>
    </font>
    <font>
      <b/>
      <sz val="12"/>
      <color rgb="FFFF0000"/>
      <name val="Times New Roman"/>
      <family val="1"/>
    </font>
    <font>
      <sz val="12"/>
      <color rgb="FF0070C0"/>
      <name val="Times New Roman"/>
      <family val="2"/>
    </font>
    <font>
      <sz val="10"/>
      <color rgb="FF0070C0"/>
      <name val="Arial"/>
      <family val="2"/>
    </font>
    <font>
      <b/>
      <sz val="12"/>
      <color rgb="FF0070C0"/>
      <name val="Times New Roman"/>
      <family val="1"/>
    </font>
    <font>
      <b/>
      <sz val="12"/>
      <color theme="9" tint="-0.499984740745262"/>
      <name val="Times New Roman"/>
      <family val="1"/>
    </font>
    <font>
      <b/>
      <sz val="12"/>
      <color theme="5" tint="-0.499984740745262"/>
      <name val="Times New Roman"/>
      <family val="1"/>
    </font>
    <font>
      <sz val="12"/>
      <color theme="5" tint="-0.499984740745262"/>
      <name val="Times New Roman"/>
      <family val="1"/>
    </font>
    <font>
      <sz val="12"/>
      <color rgb="FF0070C0"/>
      <name val="Times New Roman"/>
      <family val="1"/>
    </font>
    <font>
      <u/>
      <sz val="12"/>
      <color rgb="FF0070C0"/>
      <name val="Times New Roman"/>
      <family val="1"/>
    </font>
    <font>
      <b/>
      <u/>
      <sz val="12"/>
      <color rgb="FF0070C0"/>
      <name val="Times New Roman"/>
      <family val="1"/>
    </font>
    <font>
      <sz val="9"/>
      <color indexed="81"/>
      <name val="Tahoma"/>
      <family val="2"/>
    </font>
    <font>
      <b/>
      <sz val="9"/>
      <color indexed="81"/>
      <name val="Tahoma"/>
      <family val="2"/>
    </font>
    <font>
      <b/>
      <sz val="12"/>
      <color theme="5" tint="-0.249977111117893"/>
      <name val="Times New Roman"/>
      <family val="1"/>
    </font>
    <font>
      <sz val="12"/>
      <color theme="5" tint="-0.249977111117893"/>
      <name val="Times New Roman"/>
      <family val="1"/>
    </font>
    <font>
      <i/>
      <sz val="12"/>
      <color rgb="FFFF0000"/>
      <name val="Times New Roman"/>
      <family val="1"/>
    </font>
    <font>
      <sz val="12"/>
      <color rgb="FFC00000"/>
      <name val="Times New Roman"/>
      <family val="1"/>
    </font>
    <font>
      <sz val="12"/>
      <name val=".VnTime"/>
      <family val="2"/>
    </font>
    <font>
      <u/>
      <sz val="12"/>
      <color theme="1"/>
      <name val="Times New Roman"/>
      <family val="1"/>
    </font>
    <font>
      <i/>
      <sz val="12"/>
      <color rgb="FFC00000"/>
      <name val="Times New Roman"/>
      <family val="1"/>
    </font>
    <font>
      <u/>
      <sz val="12"/>
      <name val="Times New Roman"/>
      <family val="1"/>
    </font>
    <font>
      <sz val="12"/>
      <color rgb="FFFF0000"/>
      <name val="Times New Roman"/>
      <family val="1"/>
    </font>
    <font>
      <sz val="12"/>
      <color theme="9" tint="-0.499984740745262"/>
      <name val="Times New Roman"/>
      <family val="1"/>
    </font>
    <font>
      <b/>
      <i/>
      <sz val="12"/>
      <color rgb="FFFF0000"/>
      <name val="Times New Roman"/>
      <family val="1"/>
    </font>
    <font>
      <sz val="12"/>
      <color theme="4" tint="-0.249977111117893"/>
      <name val="Times New Roman"/>
      <family val="1"/>
    </font>
    <font>
      <b/>
      <sz val="12"/>
      <color rgb="FFC00000"/>
      <name val="Times New Roman"/>
      <family val="1"/>
    </font>
    <font>
      <b/>
      <u/>
      <sz val="12"/>
      <color theme="1"/>
      <name val="Times New Roman"/>
      <family val="1"/>
    </font>
  </fonts>
  <fills count="8">
    <fill>
      <patternFill patternType="none"/>
    </fill>
    <fill>
      <patternFill patternType="gray125"/>
    </fill>
    <fill>
      <patternFill patternType="solid">
        <fgColor theme="6" tint="0.79998168889431442"/>
        <bgColor indexed="64"/>
      </patternFill>
    </fill>
    <fill>
      <patternFill patternType="solid">
        <fgColor theme="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1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diagonal/>
    </border>
  </borders>
  <cellStyleXfs count="5">
    <xf numFmtId="0" fontId="0" fillId="0" borderId="0"/>
    <xf numFmtId="0" fontId="7" fillId="0" borderId="0" applyNumberFormat="0" applyFill="0" applyBorder="0" applyAlignment="0" applyProtection="0">
      <alignment vertical="top"/>
      <protection locked="0"/>
    </xf>
    <xf numFmtId="0" fontId="9" fillId="0" borderId="0"/>
    <xf numFmtId="0" fontId="4" fillId="0" borderId="0"/>
    <xf numFmtId="0" fontId="32" fillId="0" borderId="0"/>
  </cellStyleXfs>
  <cellXfs count="596">
    <xf numFmtId="0" fontId="0" fillId="0" borderId="0" xfId="0"/>
    <xf numFmtId="0" fontId="0" fillId="0" borderId="0" xfId="0"/>
    <xf numFmtId="0" fontId="0" fillId="0" borderId="0" xfId="0" applyFill="1"/>
    <xf numFmtId="0" fontId="0" fillId="0" borderId="1" xfId="0" applyFill="1" applyBorder="1"/>
    <xf numFmtId="0" fontId="11" fillId="0" borderId="0" xfId="0" applyFont="1"/>
    <xf numFmtId="0" fontId="12" fillId="0" borderId="0" xfId="0" applyFont="1"/>
    <xf numFmtId="0" fontId="0" fillId="0" borderId="8" xfId="0" applyFill="1" applyBorder="1" applyAlignment="1">
      <alignment horizontal="center"/>
    </xf>
    <xf numFmtId="0" fontId="13" fillId="0" borderId="0" xfId="0" applyFont="1"/>
    <xf numFmtId="0" fontId="0" fillId="0" borderId="12" xfId="0" applyFill="1" applyBorder="1" applyAlignment="1">
      <alignment horizontal="center"/>
    </xf>
    <xf numFmtId="0" fontId="14" fillId="0" borderId="0" xfId="0" applyFont="1" applyFill="1" applyAlignment="1">
      <alignment vertical="top"/>
    </xf>
    <xf numFmtId="0" fontId="15" fillId="0" borderId="0" xfId="0" applyFont="1" applyFill="1"/>
    <xf numFmtId="0" fontId="5" fillId="0" borderId="0" xfId="0" applyFont="1" applyFill="1"/>
    <xf numFmtId="0" fontId="0" fillId="0" borderId="13" xfId="0" applyFill="1" applyBorder="1"/>
    <xf numFmtId="0" fontId="6" fillId="0" borderId="0" xfId="0" applyFont="1" applyFill="1"/>
    <xf numFmtId="0" fontId="3" fillId="3" borderId="0" xfId="3" applyFont="1" applyFill="1"/>
    <xf numFmtId="0" fontId="3" fillId="0" borderId="0" xfId="3" applyFont="1"/>
    <xf numFmtId="0" fontId="3" fillId="0" borderId="0" xfId="3" applyFont="1" applyFill="1"/>
    <xf numFmtId="0" fontId="2" fillId="0" borderId="0" xfId="3" applyFont="1" applyFill="1"/>
    <xf numFmtId="0" fontId="13" fillId="0" borderId="0" xfId="0" applyFont="1" applyFill="1"/>
    <xf numFmtId="0" fontId="3" fillId="2" borderId="0" xfId="3" applyFont="1" applyFill="1"/>
    <xf numFmtId="0" fontId="3" fillId="2" borderId="0" xfId="3" applyFont="1" applyFill="1" applyBorder="1"/>
    <xf numFmtId="0" fontId="2" fillId="2" borderId="0" xfId="3" applyFont="1" applyFill="1" applyAlignment="1">
      <alignment horizontal="left"/>
    </xf>
    <xf numFmtId="14" fontId="3" fillId="2" borderId="0" xfId="3" quotePrefix="1" applyNumberFormat="1" applyFont="1" applyFill="1" applyAlignment="1">
      <alignment horizontal="left"/>
    </xf>
    <xf numFmtId="0" fontId="8" fillId="2" borderId="0" xfId="3" applyFont="1" applyFill="1" applyBorder="1"/>
    <xf numFmtId="0" fontId="2" fillId="2" borderId="0" xfId="3" applyFont="1" applyFill="1" applyBorder="1"/>
    <xf numFmtId="0" fontId="2" fillId="2" borderId="0" xfId="3" applyFont="1" applyFill="1"/>
    <xf numFmtId="0" fontId="2" fillId="2" borderId="14" xfId="3" applyFont="1" applyFill="1" applyBorder="1"/>
    <xf numFmtId="0" fontId="3" fillId="2" borderId="15" xfId="3" applyFont="1" applyFill="1" applyBorder="1"/>
    <xf numFmtId="0" fontId="3" fillId="2" borderId="16" xfId="3" applyFont="1" applyFill="1" applyBorder="1"/>
    <xf numFmtId="0" fontId="0" fillId="5" borderId="8" xfId="0" applyFill="1" applyBorder="1"/>
    <xf numFmtId="0" fontId="0" fillId="5" borderId="12" xfId="0" applyFill="1" applyBorder="1"/>
    <xf numFmtId="0" fontId="0" fillId="5" borderId="12" xfId="0" applyFill="1" applyBorder="1" applyAlignment="1">
      <alignment horizontal="center"/>
    </xf>
    <xf numFmtId="0" fontId="0" fillId="5" borderId="6" xfId="0" applyFill="1" applyBorder="1"/>
    <xf numFmtId="0" fontId="0" fillId="5" borderId="10" xfId="0" applyFill="1" applyBorder="1"/>
    <xf numFmtId="164" fontId="0" fillId="5" borderId="2" xfId="0" applyNumberFormat="1" applyFill="1" applyBorder="1"/>
    <xf numFmtId="164" fontId="0" fillId="5" borderId="4" xfId="0" applyNumberFormat="1" applyFill="1" applyBorder="1"/>
    <xf numFmtId="164" fontId="0" fillId="5" borderId="6" xfId="0" applyNumberFormat="1" applyFill="1" applyBorder="1"/>
    <xf numFmtId="164" fontId="0" fillId="5" borderId="7" xfId="0" applyNumberFormat="1" applyFill="1" applyBorder="1"/>
    <xf numFmtId="0" fontId="0" fillId="5" borderId="3" xfId="0" applyFill="1" applyBorder="1"/>
    <xf numFmtId="0" fontId="0" fillId="5" borderId="11" xfId="0" applyFill="1" applyBorder="1"/>
    <xf numFmtId="164" fontId="0" fillId="5" borderId="3" xfId="0" applyNumberFormat="1" applyFill="1" applyBorder="1"/>
    <xf numFmtId="164" fontId="0" fillId="5" borderId="5" xfId="0" applyNumberFormat="1" applyFill="1" applyBorder="1"/>
    <xf numFmtId="0" fontId="0" fillId="5" borderId="1" xfId="0" applyFill="1" applyBorder="1" applyAlignment="1">
      <alignment horizontal="center"/>
    </xf>
    <xf numFmtId="0" fontId="0" fillId="5" borderId="9" xfId="0" applyFill="1" applyBorder="1"/>
    <xf numFmtId="2" fontId="0" fillId="5" borderId="2" xfId="0" applyNumberFormat="1" applyFill="1" applyBorder="1"/>
    <xf numFmtId="2" fontId="0" fillId="5" borderId="4" xfId="0" applyNumberFormat="1" applyFill="1" applyBorder="1"/>
    <xf numFmtId="2" fontId="0" fillId="5" borderId="6" xfId="0" applyNumberFormat="1" applyFill="1" applyBorder="1"/>
    <xf numFmtId="2" fontId="0" fillId="5" borderId="7" xfId="0" applyNumberFormat="1" applyFill="1" applyBorder="1"/>
    <xf numFmtId="2" fontId="0" fillId="5" borderId="3" xfId="0" applyNumberFormat="1" applyFill="1" applyBorder="1"/>
    <xf numFmtId="2" fontId="0" fillId="5" borderId="5" xfId="0" applyNumberFormat="1" applyFill="1" applyBorder="1"/>
    <xf numFmtId="0" fontId="0" fillId="5" borderId="8" xfId="0" applyFill="1" applyBorder="1" applyAlignment="1">
      <alignment horizontal="center"/>
    </xf>
    <xf numFmtId="0" fontId="0" fillId="5" borderId="4" xfId="0" applyFill="1" applyBorder="1"/>
    <xf numFmtId="165" fontId="0" fillId="5" borderId="2" xfId="0" applyNumberFormat="1" applyFill="1" applyBorder="1"/>
    <xf numFmtId="165" fontId="0" fillId="5" borderId="4" xfId="0" applyNumberFormat="1" applyFill="1" applyBorder="1"/>
    <xf numFmtId="0" fontId="0" fillId="5" borderId="7" xfId="0" applyFill="1" applyBorder="1"/>
    <xf numFmtId="165" fontId="0" fillId="5" borderId="6" xfId="0" applyNumberFormat="1" applyFill="1" applyBorder="1"/>
    <xf numFmtId="165" fontId="0" fillId="5" borderId="7" xfId="0" applyNumberFormat="1" applyFill="1" applyBorder="1"/>
    <xf numFmtId="0" fontId="0" fillId="5" borderId="5" xfId="0" applyFill="1" applyBorder="1"/>
    <xf numFmtId="165" fontId="0" fillId="5" borderId="3" xfId="0" applyNumberFormat="1" applyFill="1" applyBorder="1"/>
    <xf numFmtId="165" fontId="0" fillId="5" borderId="5" xfId="0" applyNumberFormat="1" applyFill="1" applyBorder="1"/>
    <xf numFmtId="1" fontId="0" fillId="5" borderId="2" xfId="0" applyNumberFormat="1" applyFill="1" applyBorder="1"/>
    <xf numFmtId="1" fontId="0" fillId="5" borderId="4" xfId="0" applyNumberFormat="1" applyFill="1" applyBorder="1"/>
    <xf numFmtId="1" fontId="0" fillId="5" borderId="6" xfId="0" applyNumberFormat="1" applyFill="1" applyBorder="1"/>
    <xf numFmtId="1" fontId="0" fillId="5" borderId="7" xfId="0" applyNumberFormat="1" applyFill="1" applyBorder="1"/>
    <xf numFmtId="1" fontId="0" fillId="5" borderId="3" xfId="0" applyNumberFormat="1" applyFill="1" applyBorder="1"/>
    <xf numFmtId="1" fontId="0" fillId="5" borderId="5" xfId="0" applyNumberFormat="1" applyFill="1" applyBorder="1"/>
    <xf numFmtId="0" fontId="0" fillId="5" borderId="1" xfId="0" applyFill="1" applyBorder="1"/>
    <xf numFmtId="0" fontId="0" fillId="5" borderId="2" xfId="0" applyFill="1" applyBorder="1"/>
    <xf numFmtId="0" fontId="0" fillId="5" borderId="13" xfId="0" applyFill="1" applyBorder="1"/>
    <xf numFmtId="0" fontId="0" fillId="5" borderId="0" xfId="0" applyFill="1" applyBorder="1"/>
    <xf numFmtId="0" fontId="0" fillId="5" borderId="17" xfId="0" applyFill="1" applyBorder="1"/>
    <xf numFmtId="0" fontId="0" fillId="5" borderId="18" xfId="0" applyFill="1" applyBorder="1"/>
    <xf numFmtId="0" fontId="16" fillId="5" borderId="9" xfId="0" applyFont="1" applyFill="1" applyBorder="1"/>
    <xf numFmtId="0" fontId="16" fillId="5" borderId="1" xfId="0" applyFont="1" applyFill="1" applyBorder="1"/>
    <xf numFmtId="0" fontId="0" fillId="5" borderId="9" xfId="0" applyFill="1" applyBorder="1" applyAlignment="1">
      <alignment horizontal="center"/>
    </xf>
    <xf numFmtId="2" fontId="0" fillId="5" borderId="9" xfId="0" applyNumberFormat="1" applyFill="1" applyBorder="1"/>
    <xf numFmtId="2" fontId="0" fillId="5" borderId="10" xfId="0" applyNumberFormat="1" applyFill="1" applyBorder="1"/>
    <xf numFmtId="2" fontId="0" fillId="5" borderId="11" xfId="0" applyNumberFormat="1" applyFill="1" applyBorder="1"/>
    <xf numFmtId="0" fontId="16" fillId="5" borderId="2" xfId="0" applyFont="1" applyFill="1" applyBorder="1"/>
    <xf numFmtId="166" fontId="0" fillId="5" borderId="9" xfId="0" applyNumberFormat="1" applyFill="1" applyBorder="1"/>
    <xf numFmtId="166" fontId="0" fillId="5" borderId="10" xfId="0" applyNumberFormat="1" applyFill="1" applyBorder="1"/>
    <xf numFmtId="166" fontId="0" fillId="5" borderId="11" xfId="0" applyNumberFormat="1" applyFill="1" applyBorder="1"/>
    <xf numFmtId="166" fontId="0" fillId="5" borderId="2" xfId="0" applyNumberFormat="1" applyFill="1" applyBorder="1"/>
    <xf numFmtId="166" fontId="0" fillId="5" borderId="4" xfId="0" applyNumberFormat="1" applyFill="1" applyBorder="1"/>
    <xf numFmtId="166" fontId="0" fillId="5" borderId="6" xfId="0" applyNumberFormat="1" applyFill="1" applyBorder="1"/>
    <xf numFmtId="166" fontId="0" fillId="5" borderId="7" xfId="0" applyNumberFormat="1" applyFill="1" applyBorder="1"/>
    <xf numFmtId="166" fontId="0" fillId="5" borderId="3" xfId="0" applyNumberFormat="1" applyFill="1" applyBorder="1"/>
    <xf numFmtId="166" fontId="0" fillId="5" borderId="5" xfId="0" applyNumberFormat="1" applyFill="1" applyBorder="1"/>
    <xf numFmtId="0" fontId="2" fillId="0" borderId="0" xfId="0" applyFont="1"/>
    <xf numFmtId="0" fontId="11" fillId="0" borderId="0" xfId="0" applyFont="1" applyFill="1" applyBorder="1"/>
    <xf numFmtId="0" fontId="10" fillId="6" borderId="9" xfId="0" applyFont="1" applyFill="1" applyBorder="1"/>
    <xf numFmtId="0" fontId="10" fillId="6" borderId="4" xfId="0" applyFont="1" applyFill="1" applyBorder="1"/>
    <xf numFmtId="164" fontId="10" fillId="6" borderId="7" xfId="0" applyNumberFormat="1" applyFont="1" applyFill="1" applyBorder="1"/>
    <xf numFmtId="164" fontId="10" fillId="6" borderId="5" xfId="0" applyNumberFormat="1" applyFont="1" applyFill="1" applyBorder="1"/>
    <xf numFmtId="0" fontId="10" fillId="5" borderId="9" xfId="0" applyFont="1" applyFill="1" applyBorder="1" applyAlignment="1">
      <alignment horizontal="center"/>
    </xf>
    <xf numFmtId="0" fontId="10" fillId="5" borderId="18" xfId="0" applyFont="1" applyFill="1" applyBorder="1"/>
    <xf numFmtId="0" fontId="10" fillId="5" borderId="0" xfId="0" applyFont="1" applyFill="1" applyBorder="1"/>
    <xf numFmtId="0" fontId="10" fillId="5" borderId="17" xfId="0" applyFont="1" applyFill="1" applyBorder="1"/>
    <xf numFmtId="0" fontId="0" fillId="0" borderId="0" xfId="0" quotePrefix="1"/>
    <xf numFmtId="0" fontId="0" fillId="4" borderId="0" xfId="0" applyFill="1"/>
    <xf numFmtId="0" fontId="17" fillId="0" borderId="9" xfId="0" applyFont="1" applyFill="1" applyBorder="1"/>
    <xf numFmtId="0" fontId="17" fillId="0" borderId="2" xfId="0" applyFont="1" applyFill="1" applyBorder="1"/>
    <xf numFmtId="0" fontId="18" fillId="0" borderId="4" xfId="0" applyFont="1" applyFill="1" applyBorder="1"/>
    <xf numFmtId="0" fontId="17" fillId="0" borderId="4" xfId="0" applyFont="1" applyFill="1" applyBorder="1"/>
    <xf numFmtId="0" fontId="17" fillId="0" borderId="10" xfId="0" applyFont="1" applyFill="1" applyBorder="1"/>
    <xf numFmtId="0" fontId="17" fillId="0" borderId="6" xfId="0" applyFont="1" applyFill="1" applyBorder="1"/>
    <xf numFmtId="0" fontId="18" fillId="0" borderId="7" xfId="0" applyFont="1" applyFill="1" applyBorder="1"/>
    <xf numFmtId="0" fontId="17" fillId="0" borderId="7" xfId="0" applyFont="1" applyFill="1" applyBorder="1"/>
    <xf numFmtId="0" fontId="17" fillId="0" borderId="6" xfId="0" applyFont="1" applyBorder="1"/>
    <xf numFmtId="0" fontId="17" fillId="0" borderId="7" xfId="0" applyFont="1" applyBorder="1"/>
    <xf numFmtId="0" fontId="17" fillId="0" borderId="11" xfId="0" applyFont="1" applyFill="1" applyBorder="1"/>
    <xf numFmtId="0" fontId="17" fillId="0" borderId="3" xfId="0" applyFont="1" applyFill="1" applyBorder="1"/>
    <xf numFmtId="0" fontId="18" fillId="0" borderId="5" xfId="0" applyFont="1" applyFill="1" applyBorder="1"/>
    <xf numFmtId="0" fontId="17" fillId="0" borderId="5" xfId="0" applyFont="1" applyFill="1" applyBorder="1"/>
    <xf numFmtId="0" fontId="0" fillId="5" borderId="13" xfId="0" applyFill="1" applyBorder="1" applyAlignment="1">
      <alignment horizontal="center"/>
    </xf>
    <xf numFmtId="165" fontId="0" fillId="5" borderId="0" xfId="0" applyNumberFormat="1" applyFill="1" applyBorder="1"/>
    <xf numFmtId="165" fontId="0" fillId="5" borderId="17" xfId="0" applyNumberFormat="1" applyFill="1" applyBorder="1"/>
    <xf numFmtId="0" fontId="0" fillId="4" borderId="0" xfId="0" quotePrefix="1" applyFill="1" applyAlignment="1">
      <alignment horizontal="left"/>
    </xf>
    <xf numFmtId="0" fontId="0" fillId="0" borderId="0" xfId="0" applyAlignment="1">
      <alignment horizontal="left"/>
    </xf>
    <xf numFmtId="0" fontId="0" fillId="4" borderId="0" xfId="0" applyFill="1" applyAlignment="1">
      <alignment horizontal="left"/>
    </xf>
    <xf numFmtId="0" fontId="0" fillId="4" borderId="0" xfId="0" applyFill="1" applyBorder="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165" fontId="0" fillId="5" borderId="18" xfId="0" applyNumberFormat="1" applyFill="1" applyBorder="1"/>
    <xf numFmtId="0" fontId="17" fillId="0" borderId="2" xfId="0" applyFont="1" applyBorder="1"/>
    <xf numFmtId="0" fontId="17" fillId="0" borderId="4" xfId="0" applyFont="1" applyBorder="1"/>
    <xf numFmtId="166" fontId="11" fillId="0" borderId="0" xfId="0" applyNumberFormat="1" applyFont="1"/>
    <xf numFmtId="0" fontId="11" fillId="0" borderId="1" xfId="0" applyFont="1" applyBorder="1" applyAlignment="1">
      <alignment horizontal="center"/>
    </xf>
    <xf numFmtId="0" fontId="20" fillId="0" borderId="0" xfId="0" applyFont="1"/>
    <xf numFmtId="0" fontId="21" fillId="0" borderId="0" xfId="0" applyFont="1"/>
    <xf numFmtId="0" fontId="22" fillId="0" borderId="0" xfId="0" applyFont="1"/>
    <xf numFmtId="0" fontId="22" fillId="0" borderId="1" xfId="0" applyFont="1" applyBorder="1" applyAlignment="1">
      <alignment horizontal="center"/>
    </xf>
    <xf numFmtId="0" fontId="22" fillId="0" borderId="13" xfId="0" applyFont="1" applyBorder="1" applyAlignment="1">
      <alignment horizontal="center"/>
    </xf>
    <xf numFmtId="0" fontId="22" fillId="0" borderId="12" xfId="0" applyFont="1" applyBorder="1" applyAlignment="1">
      <alignment horizontal="center"/>
    </xf>
    <xf numFmtId="0" fontId="22" fillId="0" borderId="9" xfId="0" applyFont="1" applyFill="1" applyBorder="1"/>
    <xf numFmtId="165" fontId="22" fillId="0" borderId="18" xfId="0" applyNumberFormat="1" applyFont="1" applyBorder="1"/>
    <xf numFmtId="165" fontId="22" fillId="0" borderId="4" xfId="0" applyNumberFormat="1" applyFont="1" applyBorder="1"/>
    <xf numFmtId="165" fontId="21" fillId="0" borderId="9" xfId="0" applyNumberFormat="1" applyFont="1" applyBorder="1"/>
    <xf numFmtId="0" fontId="22" fillId="0" borderId="10" xfId="0" applyFont="1" applyFill="1" applyBorder="1"/>
    <xf numFmtId="165" fontId="22" fillId="0" borderId="6" xfId="0" applyNumberFormat="1" applyFont="1" applyBorder="1"/>
    <xf numFmtId="165" fontId="23" fillId="0" borderId="0" xfId="0" applyNumberFormat="1" applyFont="1" applyBorder="1"/>
    <xf numFmtId="165" fontId="23" fillId="0" borderId="7" xfId="0" applyNumberFormat="1" applyFont="1" applyBorder="1"/>
    <xf numFmtId="165" fontId="21" fillId="0" borderId="10" xfId="0" applyNumberFormat="1" applyFont="1" applyBorder="1"/>
    <xf numFmtId="0" fontId="22" fillId="0" borderId="11" xfId="0" applyFont="1" applyFill="1" applyBorder="1"/>
    <xf numFmtId="165" fontId="22" fillId="0" borderId="3" xfId="0" applyNumberFormat="1" applyFont="1" applyBorder="1"/>
    <xf numFmtId="165" fontId="23" fillId="0" borderId="17" xfId="0" applyNumberFormat="1" applyFont="1" applyBorder="1"/>
    <xf numFmtId="165" fontId="21" fillId="0" borderId="11" xfId="0" applyNumberFormat="1" applyFont="1" applyBorder="1"/>
    <xf numFmtId="0" fontId="25" fillId="0" borderId="0" xfId="1" applyFont="1" applyAlignment="1" applyProtection="1"/>
    <xf numFmtId="165" fontId="2" fillId="0" borderId="9" xfId="0" applyNumberFormat="1" applyFont="1" applyBorder="1"/>
    <xf numFmtId="165" fontId="2" fillId="0" borderId="10" xfId="0" applyNumberFormat="1" applyFont="1" applyBorder="1"/>
    <xf numFmtId="165" fontId="2" fillId="0" borderId="11" xfId="0" applyNumberFormat="1" applyFont="1" applyBorder="1"/>
    <xf numFmtId="0" fontId="2" fillId="0" borderId="1" xfId="0" applyFont="1" applyFill="1" applyBorder="1" applyAlignment="1">
      <alignment horizontal="center"/>
    </xf>
    <xf numFmtId="165" fontId="2" fillId="0" borderId="9" xfId="0" applyNumberFormat="1" applyFont="1" applyFill="1" applyBorder="1"/>
    <xf numFmtId="165" fontId="2" fillId="0" borderId="10" xfId="0" applyNumberFormat="1" applyFont="1" applyFill="1" applyBorder="1"/>
    <xf numFmtId="165" fontId="2" fillId="0" borderId="11" xfId="0" applyNumberFormat="1" applyFont="1" applyFill="1" applyBorder="1"/>
    <xf numFmtId="0" fontId="11" fillId="0" borderId="1" xfId="0" applyFont="1" applyFill="1" applyBorder="1" applyAlignment="1">
      <alignment horizontal="center"/>
    </xf>
    <xf numFmtId="0" fontId="28" fillId="0" borderId="0" xfId="0" applyFont="1"/>
    <xf numFmtId="0" fontId="29" fillId="0" borderId="1" xfId="0" applyFont="1" applyBorder="1" applyAlignment="1">
      <alignment horizontal="center"/>
    </xf>
    <xf numFmtId="165" fontId="28" fillId="0" borderId="9" xfId="0" applyNumberFormat="1" applyFont="1" applyBorder="1"/>
    <xf numFmtId="165" fontId="29" fillId="0" borderId="10" xfId="0" applyNumberFormat="1" applyFont="1" applyBorder="1"/>
    <xf numFmtId="165" fontId="28" fillId="0" borderId="10" xfId="0" applyNumberFormat="1" applyFont="1" applyBorder="1"/>
    <xf numFmtId="165" fontId="28" fillId="0" borderId="11" xfId="0" applyNumberFormat="1" applyFont="1" applyBorder="1"/>
    <xf numFmtId="164" fontId="30" fillId="0" borderId="0" xfId="0" applyNumberFormat="1" applyFont="1" applyAlignment="1">
      <alignment horizontal="left"/>
    </xf>
    <xf numFmtId="0" fontId="0" fillId="0" borderId="0" xfId="0"/>
    <xf numFmtId="165" fontId="16" fillId="0" borderId="0" xfId="0" applyNumberFormat="1" applyFont="1"/>
    <xf numFmtId="165" fontId="3" fillId="0" borderId="0" xfId="0" applyNumberFormat="1" applyFont="1"/>
    <xf numFmtId="0" fontId="11" fillId="0" borderId="1" xfId="0" applyFont="1" applyFill="1" applyBorder="1"/>
    <xf numFmtId="1" fontId="11" fillId="0" borderId="10" xfId="0" applyNumberFormat="1" applyFont="1" applyBorder="1"/>
    <xf numFmtId="1" fontId="11" fillId="0" borderId="11" xfId="0" applyNumberFormat="1" applyFont="1" applyBorder="1"/>
    <xf numFmtId="1" fontId="11" fillId="0" borderId="8" xfId="0" applyNumberFormat="1" applyFont="1" applyBorder="1"/>
    <xf numFmtId="1" fontId="11" fillId="0" borderId="13" xfId="0" applyNumberFormat="1" applyFont="1" applyBorder="1"/>
    <xf numFmtId="1" fontId="11" fillId="0" borderId="1" xfId="0" applyNumberFormat="1" applyFont="1" applyBorder="1"/>
    <xf numFmtId="165" fontId="11" fillId="0" borderId="1" xfId="0" applyNumberFormat="1" applyFont="1" applyBorder="1"/>
    <xf numFmtId="164" fontId="16" fillId="4" borderId="1" xfId="0" applyNumberFormat="1" applyFont="1" applyFill="1" applyBorder="1"/>
    <xf numFmtId="2" fontId="16" fillId="4" borderId="1" xfId="0" applyNumberFormat="1" applyFont="1" applyFill="1" applyBorder="1"/>
    <xf numFmtId="165" fontId="16" fillId="4" borderId="1" xfId="0" applyNumberFormat="1" applyFont="1" applyFill="1" applyBorder="1"/>
    <xf numFmtId="165" fontId="11" fillId="0" borderId="8" xfId="0" applyNumberFormat="1" applyFont="1" applyBorder="1"/>
    <xf numFmtId="165" fontId="11" fillId="0" borderId="11" xfId="0" applyNumberFormat="1" applyFont="1" applyBorder="1"/>
    <xf numFmtId="165" fontId="11" fillId="0" borderId="2" xfId="0" applyNumberFormat="1" applyFont="1" applyBorder="1"/>
    <xf numFmtId="165" fontId="11" fillId="0" borderId="6" xfId="0" applyNumberFormat="1" applyFont="1" applyBorder="1"/>
    <xf numFmtId="165" fontId="11" fillId="0" borderId="3" xfId="0" applyNumberFormat="1" applyFont="1" applyBorder="1"/>
    <xf numFmtId="0" fontId="30" fillId="0" borderId="0" xfId="0" applyFont="1"/>
    <xf numFmtId="165" fontId="19" fillId="0" borderId="9" xfId="0" applyNumberFormat="1" applyFont="1" applyFill="1" applyBorder="1"/>
    <xf numFmtId="165" fontId="19" fillId="0" borderId="10" xfId="0" applyNumberFormat="1" applyFont="1" applyFill="1" applyBorder="1"/>
    <xf numFmtId="165" fontId="19" fillId="0" borderId="11" xfId="0" applyNumberFormat="1" applyFont="1" applyFill="1" applyBorder="1"/>
    <xf numFmtId="0" fontId="19" fillId="0" borderId="0" xfId="0" applyFont="1"/>
    <xf numFmtId="166" fontId="3" fillId="0" borderId="0" xfId="0" applyNumberFormat="1" applyFont="1" applyFill="1" applyBorder="1" applyAlignment="1">
      <alignment horizontal="center" vertical="center"/>
    </xf>
    <xf numFmtId="0" fontId="31" fillId="0" borderId="0" xfId="0" applyFont="1" applyFill="1" applyBorder="1" applyAlignment="1"/>
    <xf numFmtId="166" fontId="31" fillId="0" borderId="0" xfId="0" applyNumberFormat="1" applyFont="1" applyFill="1" applyBorder="1" applyAlignment="1">
      <alignment horizontal="center" vertical="center"/>
    </xf>
    <xf numFmtId="164" fontId="3" fillId="0" borderId="0" xfId="4" applyNumberFormat="1" applyFont="1" applyFill="1" applyBorder="1" applyAlignment="1"/>
    <xf numFmtId="1" fontId="2" fillId="0" borderId="0" xfId="0" applyNumberFormat="1" applyFont="1" applyFill="1" applyBorder="1" applyAlignment="1">
      <alignment horizontal="center"/>
    </xf>
    <xf numFmtId="164" fontId="2" fillId="0" borderId="0" xfId="4" applyNumberFormat="1" applyFont="1" applyFill="1" applyBorder="1"/>
    <xf numFmtId="0" fontId="16" fillId="0" borderId="0" xfId="0" applyFont="1"/>
    <xf numFmtId="166" fontId="16" fillId="0" borderId="0" xfId="0" applyNumberFormat="1" applyFont="1"/>
    <xf numFmtId="0" fontId="34" fillId="0" borderId="0" xfId="0" applyFont="1"/>
    <xf numFmtId="0" fontId="16" fillId="0" borderId="0" xfId="0" applyFont="1" applyFill="1" applyBorder="1" applyAlignment="1">
      <alignment horizontal="left"/>
    </xf>
    <xf numFmtId="1" fontId="11" fillId="0" borderId="0" xfId="0" applyNumberFormat="1" applyFont="1" applyBorder="1"/>
    <xf numFmtId="165" fontId="16" fillId="4" borderId="0" xfId="0" applyNumberFormat="1" applyFont="1" applyFill="1" applyBorder="1"/>
    <xf numFmtId="164" fontId="16" fillId="4" borderId="0" xfId="0" applyNumberFormat="1" applyFont="1" applyFill="1" applyBorder="1"/>
    <xf numFmtId="0" fontId="16" fillId="0" borderId="0" xfId="0" applyFont="1" applyFill="1" applyAlignment="1">
      <alignment vertical="top"/>
    </xf>
    <xf numFmtId="0" fontId="13" fillId="0" borderId="1" xfId="0" applyFont="1" applyFill="1" applyBorder="1"/>
    <xf numFmtId="0" fontId="13" fillId="0" borderId="8" xfId="0" applyFont="1" applyFill="1" applyBorder="1" applyAlignment="1">
      <alignment horizontal="center"/>
    </xf>
    <xf numFmtId="0" fontId="13" fillId="0" borderId="12" xfId="0" applyFont="1" applyFill="1" applyBorder="1" applyAlignment="1">
      <alignment horizontal="center"/>
    </xf>
    <xf numFmtId="0" fontId="3" fillId="0" borderId="9" xfId="0" applyFont="1" applyFill="1" applyBorder="1"/>
    <xf numFmtId="0" fontId="3" fillId="0" borderId="2" xfId="0" applyFont="1" applyFill="1" applyBorder="1"/>
    <xf numFmtId="0" fontId="3" fillId="0" borderId="4" xfId="0" applyFont="1" applyFill="1" applyBorder="1"/>
    <xf numFmtId="0" fontId="3" fillId="0" borderId="10" xfId="0" applyFont="1" applyFill="1" applyBorder="1"/>
    <xf numFmtId="0" fontId="3" fillId="0" borderId="6" xfId="0" applyFont="1" applyFill="1" applyBorder="1"/>
    <xf numFmtId="0" fontId="3" fillId="0" borderId="7" xfId="0" applyFont="1" applyFill="1" applyBorder="1"/>
    <xf numFmtId="0" fontId="3" fillId="0" borderId="5" xfId="0" applyFont="1" applyFill="1" applyBorder="1"/>
    <xf numFmtId="0" fontId="3" fillId="5" borderId="1" xfId="0" applyFont="1" applyFill="1" applyBorder="1"/>
    <xf numFmtId="0" fontId="3" fillId="5" borderId="9" xfId="0" applyFont="1" applyFill="1" applyBorder="1" applyAlignment="1">
      <alignment horizontal="center"/>
    </xf>
    <xf numFmtId="0" fontId="3" fillId="5" borderId="9" xfId="0" applyFont="1" applyFill="1" applyBorder="1"/>
    <xf numFmtId="0" fontId="13" fillId="5" borderId="2" xfId="0" applyFont="1" applyFill="1" applyBorder="1"/>
    <xf numFmtId="2" fontId="13" fillId="5" borderId="2" xfId="0" applyNumberFormat="1" applyFont="1" applyFill="1" applyBorder="1"/>
    <xf numFmtId="2" fontId="13" fillId="5" borderId="18" xfId="0" applyNumberFormat="1" applyFont="1" applyFill="1" applyBorder="1"/>
    <xf numFmtId="0" fontId="13" fillId="5" borderId="18" xfId="0" applyFont="1" applyFill="1" applyBorder="1"/>
    <xf numFmtId="0" fontId="3" fillId="5" borderId="18" xfId="0" applyFont="1" applyFill="1" applyBorder="1"/>
    <xf numFmtId="0" fontId="3" fillId="5" borderId="4" xfId="0" applyFont="1" applyFill="1" applyBorder="1"/>
    <xf numFmtId="0" fontId="13" fillId="0" borderId="0" xfId="0" applyFont="1" applyAlignment="1">
      <alignment horizontal="left"/>
    </xf>
    <xf numFmtId="0" fontId="13" fillId="5" borderId="6" xfId="0" applyFont="1" applyFill="1" applyBorder="1"/>
    <xf numFmtId="2" fontId="23" fillId="5" borderId="6" xfId="0" applyNumberFormat="1" applyFont="1" applyFill="1" applyBorder="1"/>
    <xf numFmtId="2" fontId="13" fillId="5" borderId="0" xfId="0" applyNumberFormat="1" applyFont="1" applyFill="1" applyBorder="1"/>
    <xf numFmtId="0" fontId="13" fillId="5" borderId="0" xfId="0" applyFont="1" applyFill="1" applyBorder="1"/>
    <xf numFmtId="0" fontId="3" fillId="5" borderId="0" xfId="0" applyFont="1" applyFill="1" applyBorder="1"/>
    <xf numFmtId="164" fontId="3" fillId="5" borderId="7" xfId="0" applyNumberFormat="1" applyFont="1" applyFill="1" applyBorder="1"/>
    <xf numFmtId="0" fontId="13" fillId="5" borderId="3" xfId="0" applyFont="1" applyFill="1" applyBorder="1"/>
    <xf numFmtId="2" fontId="23" fillId="5" borderId="3" xfId="0" applyNumberFormat="1" applyFont="1" applyFill="1" applyBorder="1"/>
    <xf numFmtId="2" fontId="13" fillId="5" borderId="17" xfId="0" applyNumberFormat="1" applyFont="1" applyFill="1" applyBorder="1"/>
    <xf numFmtId="0" fontId="13" fillId="5" borderId="17" xfId="0" applyFont="1" applyFill="1" applyBorder="1"/>
    <xf numFmtId="0" fontId="3" fillId="5" borderId="17" xfId="0" applyFont="1" applyFill="1" applyBorder="1"/>
    <xf numFmtId="164" fontId="3" fillId="5" borderId="5" xfId="0" applyNumberFormat="1" applyFont="1" applyFill="1" applyBorder="1"/>
    <xf numFmtId="0" fontId="13" fillId="5" borderId="8" xfId="0" applyFont="1" applyFill="1" applyBorder="1"/>
    <xf numFmtId="0" fontId="13" fillId="5" borderId="12" xfId="0" applyFont="1" applyFill="1" applyBorder="1"/>
    <xf numFmtId="0" fontId="13" fillId="5" borderId="4" xfId="0" applyFont="1" applyFill="1" applyBorder="1" applyAlignment="1">
      <alignment horizontal="center"/>
    </xf>
    <xf numFmtId="165" fontId="29" fillId="5" borderId="2" xfId="0" applyNumberFormat="1" applyFont="1" applyFill="1" applyBorder="1"/>
    <xf numFmtId="165" fontId="29" fillId="5" borderId="4" xfId="0" applyNumberFormat="1" applyFont="1" applyFill="1" applyBorder="1"/>
    <xf numFmtId="164" fontId="13" fillId="0" borderId="0" xfId="0" applyNumberFormat="1" applyFont="1" applyAlignment="1">
      <alignment horizontal="right"/>
    </xf>
    <xf numFmtId="165" fontId="29" fillId="5" borderId="6" xfId="0" applyNumberFormat="1" applyFont="1" applyFill="1" applyBorder="1"/>
    <xf numFmtId="165" fontId="29" fillId="5" borderId="7" xfId="0" applyNumberFormat="1" applyFont="1" applyFill="1" applyBorder="1"/>
    <xf numFmtId="165" fontId="29" fillId="5" borderId="3" xfId="0" applyNumberFormat="1" applyFont="1" applyFill="1" applyBorder="1"/>
    <xf numFmtId="165" fontId="29" fillId="5" borderId="5" xfId="0" applyNumberFormat="1" applyFont="1" applyFill="1" applyBorder="1"/>
    <xf numFmtId="0" fontId="13" fillId="5" borderId="9" xfId="0" applyFont="1" applyFill="1" applyBorder="1" applyAlignment="1">
      <alignment horizontal="center"/>
    </xf>
    <xf numFmtId="0" fontId="13" fillId="5" borderId="9" xfId="0" applyFont="1" applyFill="1" applyBorder="1"/>
    <xf numFmtId="2" fontId="29" fillId="5" borderId="2" xfId="0" applyNumberFormat="1" applyFont="1" applyFill="1" applyBorder="1"/>
    <xf numFmtId="2" fontId="29" fillId="5" borderId="4" xfId="0" applyNumberFormat="1" applyFont="1" applyFill="1" applyBorder="1"/>
    <xf numFmtId="0" fontId="13" fillId="5" borderId="10" xfId="0" applyFont="1" applyFill="1" applyBorder="1"/>
    <xf numFmtId="2" fontId="29" fillId="5" borderId="6" xfId="0" applyNumberFormat="1" applyFont="1" applyFill="1" applyBorder="1"/>
    <xf numFmtId="2" fontId="29" fillId="5" borderId="7" xfId="0" applyNumberFormat="1" applyFont="1" applyFill="1" applyBorder="1"/>
    <xf numFmtId="0" fontId="13" fillId="5" borderId="11" xfId="0" applyFont="1" applyFill="1" applyBorder="1"/>
    <xf numFmtId="2" fontId="29" fillId="5" borderId="3" xfId="0" applyNumberFormat="1" applyFont="1" applyFill="1" applyBorder="1"/>
    <xf numFmtId="2" fontId="29" fillId="5" borderId="5" xfId="0" applyNumberFormat="1" applyFont="1" applyFill="1" applyBorder="1"/>
    <xf numFmtId="0" fontId="13" fillId="5" borderId="2" xfId="0" applyFont="1" applyFill="1" applyBorder="1" applyAlignment="1">
      <alignment horizontal="center"/>
    </xf>
    <xf numFmtId="165" fontId="13" fillId="5" borderId="2" xfId="0" applyNumberFormat="1" applyFont="1" applyFill="1" applyBorder="1"/>
    <xf numFmtId="165" fontId="13" fillId="5" borderId="4" xfId="0" applyNumberFormat="1" applyFont="1" applyFill="1" applyBorder="1"/>
    <xf numFmtId="165" fontId="13" fillId="5" borderId="6" xfId="0" applyNumberFormat="1" applyFont="1" applyFill="1" applyBorder="1"/>
    <xf numFmtId="165" fontId="13" fillId="5" borderId="7" xfId="0" applyNumberFormat="1" applyFont="1" applyFill="1" applyBorder="1"/>
    <xf numFmtId="165" fontId="13" fillId="0" borderId="0" xfId="0" applyNumberFormat="1" applyFont="1" applyAlignment="1">
      <alignment horizontal="right"/>
    </xf>
    <xf numFmtId="0" fontId="13" fillId="5" borderId="4" xfId="0" applyFont="1" applyFill="1" applyBorder="1"/>
    <xf numFmtId="165" fontId="13" fillId="0" borderId="0" xfId="0" applyNumberFormat="1" applyFont="1"/>
    <xf numFmtId="0" fontId="13" fillId="5" borderId="7" xfId="0" applyFont="1" applyFill="1" applyBorder="1"/>
    <xf numFmtId="0" fontId="13" fillId="5" borderId="5" xfId="0" applyFont="1" applyFill="1" applyBorder="1"/>
    <xf numFmtId="164" fontId="13" fillId="5" borderId="2" xfId="0" applyNumberFormat="1" applyFont="1" applyFill="1" applyBorder="1"/>
    <xf numFmtId="164" fontId="13" fillId="5" borderId="4" xfId="0" applyNumberFormat="1" applyFont="1" applyFill="1" applyBorder="1"/>
    <xf numFmtId="164" fontId="13" fillId="5" borderId="6" xfId="0" applyNumberFormat="1" applyFont="1" applyFill="1" applyBorder="1"/>
    <xf numFmtId="164" fontId="13" fillId="5" borderId="7" xfId="0" applyNumberFormat="1" applyFont="1" applyFill="1" applyBorder="1"/>
    <xf numFmtId="164" fontId="13" fillId="5" borderId="3" xfId="0" applyNumberFormat="1" applyFont="1" applyFill="1" applyBorder="1"/>
    <xf numFmtId="164" fontId="13" fillId="5" borderId="5" xfId="0" applyNumberFormat="1" applyFont="1" applyFill="1" applyBorder="1"/>
    <xf numFmtId="165" fontId="13" fillId="5" borderId="3" xfId="0" applyNumberFormat="1" applyFont="1" applyFill="1" applyBorder="1"/>
    <xf numFmtId="165" fontId="13" fillId="5" borderId="5" xfId="0" applyNumberFormat="1" applyFont="1" applyFill="1" applyBorder="1"/>
    <xf numFmtId="0" fontId="13" fillId="5" borderId="8" xfId="0" applyFont="1" applyFill="1" applyBorder="1" applyAlignment="1">
      <alignment horizontal="center"/>
    </xf>
    <xf numFmtId="0" fontId="13" fillId="5" borderId="1" xfId="0" applyFont="1" applyFill="1" applyBorder="1" applyAlignment="1">
      <alignment horizontal="center"/>
    </xf>
    <xf numFmtId="165" fontId="31" fillId="5" borderId="2" xfId="0" applyNumberFormat="1" applyFont="1" applyFill="1" applyBorder="1"/>
    <xf numFmtId="165" fontId="31" fillId="5" borderId="4" xfId="0" applyNumberFormat="1" applyFont="1" applyFill="1" applyBorder="1"/>
    <xf numFmtId="2" fontId="13" fillId="0" borderId="0" xfId="0" applyNumberFormat="1" applyFont="1"/>
    <xf numFmtId="0" fontId="36" fillId="0" borderId="0" xfId="0" applyFont="1"/>
    <xf numFmtId="165" fontId="31" fillId="5" borderId="6" xfId="0" applyNumberFormat="1" applyFont="1" applyFill="1" applyBorder="1"/>
    <xf numFmtId="165" fontId="31" fillId="5" borderId="7" xfId="0" applyNumberFormat="1" applyFont="1" applyFill="1" applyBorder="1"/>
    <xf numFmtId="0" fontId="35" fillId="0" borderId="0" xfId="0" applyFont="1"/>
    <xf numFmtId="165" fontId="23" fillId="5" borderId="2" xfId="0" applyNumberFormat="1" applyFont="1" applyFill="1" applyBorder="1"/>
    <xf numFmtId="165" fontId="23" fillId="5" borderId="4" xfId="0" applyNumberFormat="1" applyFont="1" applyFill="1" applyBorder="1"/>
    <xf numFmtId="165" fontId="23" fillId="5" borderId="6" xfId="0" applyNumberFormat="1" applyFont="1" applyFill="1" applyBorder="1"/>
    <xf numFmtId="165" fontId="23" fillId="5" borderId="7" xfId="0" applyNumberFormat="1" applyFont="1" applyFill="1" applyBorder="1"/>
    <xf numFmtId="165" fontId="23" fillId="5" borderId="3" xfId="0" applyNumberFormat="1" applyFont="1" applyFill="1" applyBorder="1"/>
    <xf numFmtId="165" fontId="23" fillId="5" borderId="5" xfId="0" applyNumberFormat="1" applyFont="1" applyFill="1" applyBorder="1"/>
    <xf numFmtId="1" fontId="31" fillId="5" borderId="2" xfId="0" applyNumberFormat="1" applyFont="1" applyFill="1" applyBorder="1"/>
    <xf numFmtId="1" fontId="31" fillId="5" borderId="4" xfId="0" applyNumberFormat="1" applyFont="1" applyFill="1" applyBorder="1"/>
    <xf numFmtId="1" fontId="13" fillId="0" borderId="0" xfId="0" applyNumberFormat="1" applyFont="1"/>
    <xf numFmtId="164" fontId="13" fillId="0" borderId="0" xfId="0" applyNumberFormat="1" applyFont="1"/>
    <xf numFmtId="1" fontId="31" fillId="5" borderId="6" xfId="0" applyNumberFormat="1" applyFont="1" applyFill="1" applyBorder="1"/>
    <xf numFmtId="1" fontId="31" fillId="5" borderId="7" xfId="0" applyNumberFormat="1" applyFont="1" applyFill="1" applyBorder="1"/>
    <xf numFmtId="1" fontId="31" fillId="5" borderId="3" xfId="0" applyNumberFormat="1" applyFont="1" applyFill="1" applyBorder="1"/>
    <xf numFmtId="1" fontId="31" fillId="5" borderId="5" xfId="0" applyNumberFormat="1" applyFont="1" applyFill="1" applyBorder="1"/>
    <xf numFmtId="1" fontId="23" fillId="5" borderId="2" xfId="0" applyNumberFormat="1" applyFont="1" applyFill="1" applyBorder="1"/>
    <xf numFmtId="1" fontId="23" fillId="5" borderId="4" xfId="0" applyNumberFormat="1" applyFont="1" applyFill="1" applyBorder="1"/>
    <xf numFmtId="166" fontId="13" fillId="0" borderId="0" xfId="0" applyNumberFormat="1" applyFont="1"/>
    <xf numFmtId="1" fontId="23" fillId="5" borderId="6" xfId="0" applyNumberFormat="1" applyFont="1" applyFill="1" applyBorder="1"/>
    <xf numFmtId="1" fontId="23" fillId="5" borderId="7" xfId="0" applyNumberFormat="1" applyFont="1" applyFill="1" applyBorder="1"/>
    <xf numFmtId="1" fontId="23" fillId="5" borderId="3" xfId="0" applyNumberFormat="1" applyFont="1" applyFill="1" applyBorder="1"/>
    <xf numFmtId="1" fontId="23" fillId="5" borderId="5" xfId="0" applyNumberFormat="1" applyFont="1" applyFill="1" applyBorder="1"/>
    <xf numFmtId="0" fontId="13" fillId="5" borderId="2" xfId="0" quotePrefix="1" applyFont="1" applyFill="1" applyBorder="1" applyAlignment="1">
      <alignment horizontal="center"/>
    </xf>
    <xf numFmtId="0" fontId="13" fillId="5" borderId="9" xfId="0" quotePrefix="1" applyFont="1" applyFill="1" applyBorder="1" applyAlignment="1">
      <alignment horizontal="center"/>
    </xf>
    <xf numFmtId="0" fontId="13" fillId="5" borderId="9" xfId="0" quotePrefix="1" applyFont="1" applyFill="1" applyBorder="1"/>
    <xf numFmtId="0" fontId="13" fillId="5" borderId="18" xfId="0" quotePrefix="1" applyFont="1" applyFill="1" applyBorder="1"/>
    <xf numFmtId="0" fontId="23" fillId="0" borderId="0" xfId="0" applyFont="1"/>
    <xf numFmtId="164" fontId="36" fillId="0" borderId="0" xfId="0" applyNumberFormat="1" applyFont="1"/>
    <xf numFmtId="0" fontId="13" fillId="5" borderId="10" xfId="0" quotePrefix="1" applyFont="1" applyFill="1" applyBorder="1"/>
    <xf numFmtId="0" fontId="13" fillId="5" borderId="0" xfId="0" quotePrefix="1" applyFont="1" applyFill="1" applyBorder="1"/>
    <xf numFmtId="0" fontId="13" fillId="5" borderId="11" xfId="0" quotePrefix="1" applyFont="1" applyFill="1" applyBorder="1"/>
    <xf numFmtId="0" fontId="13" fillId="5" borderId="17" xfId="0" quotePrefix="1" applyFont="1" applyFill="1" applyBorder="1"/>
    <xf numFmtId="0" fontId="13" fillId="5" borderId="4" xfId="0" quotePrefix="1" applyFont="1" applyFill="1" applyBorder="1"/>
    <xf numFmtId="0" fontId="13" fillId="5" borderId="7" xfId="0" quotePrefix="1" applyFont="1" applyFill="1" applyBorder="1"/>
    <xf numFmtId="0" fontId="13" fillId="5" borderId="5" xfId="0" quotePrefix="1" applyFont="1" applyFill="1" applyBorder="1"/>
    <xf numFmtId="0" fontId="13" fillId="5" borderId="1" xfId="0" applyFont="1" applyFill="1" applyBorder="1"/>
    <xf numFmtId="0" fontId="13" fillId="0" borderId="0" xfId="0" applyFont="1" applyFill="1" applyBorder="1" applyAlignment="1">
      <alignment horizontal="center" vertical="center"/>
    </xf>
    <xf numFmtId="0" fontId="13" fillId="0" borderId="0" xfId="0" applyFont="1" applyAlignment="1">
      <alignment horizontal="right"/>
    </xf>
    <xf numFmtId="0" fontId="23" fillId="5" borderId="2" xfId="0" applyFont="1" applyFill="1" applyBorder="1"/>
    <xf numFmtId="0" fontId="23" fillId="5" borderId="4" xfId="0" applyFont="1" applyFill="1" applyBorder="1"/>
    <xf numFmtId="0" fontId="23" fillId="5" borderId="6" xfId="0" applyFont="1" applyFill="1" applyBorder="1"/>
    <xf numFmtId="0" fontId="23" fillId="5" borderId="7" xfId="0" applyFont="1" applyFill="1" applyBorder="1"/>
    <xf numFmtId="0" fontId="23" fillId="5" borderId="5" xfId="0" applyFont="1" applyFill="1" applyBorder="1"/>
    <xf numFmtId="0" fontId="13" fillId="5" borderId="13" xfId="0" applyFont="1" applyFill="1" applyBorder="1"/>
    <xf numFmtId="4" fontId="13" fillId="0" borderId="0" xfId="0" applyNumberFormat="1" applyFont="1"/>
    <xf numFmtId="0" fontId="13" fillId="0" borderId="13" xfId="0" applyFont="1" applyBorder="1" applyAlignment="1">
      <alignment horizontal="center"/>
    </xf>
    <xf numFmtId="165" fontId="13" fillId="0" borderId="8" xfId="0" applyNumberFormat="1" applyFont="1" applyBorder="1" applyAlignment="1">
      <alignment horizontal="center"/>
    </xf>
    <xf numFmtId="165" fontId="13" fillId="0" borderId="1" xfId="0" applyNumberFormat="1" applyFont="1" applyBorder="1" applyAlignment="1">
      <alignment horizontal="center"/>
    </xf>
    <xf numFmtId="165" fontId="13" fillId="0" borderId="10" xfId="0" applyNumberFormat="1" applyFont="1" applyBorder="1"/>
    <xf numFmtId="165" fontId="13" fillId="0" borderId="6" xfId="0" applyNumberFormat="1" applyFont="1" applyBorder="1"/>
    <xf numFmtId="2" fontId="13" fillId="0" borderId="9" xfId="0" applyNumberFormat="1" applyFont="1" applyBorder="1"/>
    <xf numFmtId="2" fontId="13" fillId="0" borderId="10" xfId="0" applyNumberFormat="1" applyFont="1" applyBorder="1"/>
    <xf numFmtId="165" fontId="13" fillId="0" borderId="11" xfId="0" applyNumberFormat="1" applyFont="1" applyBorder="1"/>
    <xf numFmtId="2" fontId="13" fillId="0" borderId="11" xfId="0" applyNumberFormat="1" applyFont="1" applyBorder="1"/>
    <xf numFmtId="0" fontId="13" fillId="0" borderId="1" xfId="0" applyFont="1" applyBorder="1" applyAlignment="1">
      <alignment horizontal="center"/>
    </xf>
    <xf numFmtId="0" fontId="23" fillId="5" borderId="9" xfId="0" applyFont="1" applyFill="1" applyBorder="1"/>
    <xf numFmtId="0" fontId="19" fillId="0" borderId="9" xfId="0" applyFont="1" applyFill="1" applyBorder="1"/>
    <xf numFmtId="1" fontId="13" fillId="0" borderId="6" xfId="0" applyNumberFormat="1" applyFont="1" applyBorder="1"/>
    <xf numFmtId="1" fontId="13" fillId="0" borderId="7" xfId="0" applyNumberFormat="1" applyFont="1" applyBorder="1"/>
    <xf numFmtId="165" fontId="13" fillId="0" borderId="9" xfId="0" applyNumberFormat="1" applyFont="1" applyBorder="1"/>
    <xf numFmtId="164" fontId="13" fillId="0" borderId="9" xfId="0" applyNumberFormat="1" applyFont="1" applyBorder="1"/>
    <xf numFmtId="0" fontId="13" fillId="0" borderId="2" xfId="0" applyFont="1" applyBorder="1"/>
    <xf numFmtId="0" fontId="13" fillId="0" borderId="4" xfId="0" applyFont="1" applyBorder="1"/>
    <xf numFmtId="0" fontId="23" fillId="5" borderId="10" xfId="0" applyFont="1" applyFill="1" applyBorder="1"/>
    <xf numFmtId="0" fontId="19" fillId="0" borderId="10" xfId="0" applyFont="1" applyFill="1" applyBorder="1"/>
    <xf numFmtId="164" fontId="13" fillId="0" borderId="10" xfId="0" applyNumberFormat="1" applyFont="1" applyBorder="1"/>
    <xf numFmtId="0" fontId="13" fillId="0" borderId="6" xfId="0" applyFont="1" applyBorder="1"/>
    <xf numFmtId="0" fontId="13" fillId="0" borderId="7" xfId="0" applyFont="1" applyBorder="1"/>
    <xf numFmtId="0" fontId="23" fillId="5" borderId="11" xfId="0" applyFont="1" applyFill="1" applyBorder="1"/>
    <xf numFmtId="0" fontId="19" fillId="0" borderId="11" xfId="0" applyFont="1" applyFill="1" applyBorder="1"/>
    <xf numFmtId="1" fontId="13" fillId="0" borderId="3" xfId="0" applyNumberFormat="1" applyFont="1" applyBorder="1"/>
    <xf numFmtId="1" fontId="13" fillId="0" borderId="5" xfId="0" applyNumberFormat="1" applyFont="1" applyBorder="1"/>
    <xf numFmtId="0" fontId="13" fillId="0" borderId="3" xfId="0" applyFont="1" applyBorder="1"/>
    <xf numFmtId="0" fontId="13" fillId="0" borderId="5" xfId="0" applyFont="1" applyBorder="1"/>
    <xf numFmtId="0" fontId="13" fillId="0" borderId="8" xfId="0" applyFont="1" applyBorder="1"/>
    <xf numFmtId="0" fontId="13" fillId="0" borderId="12" xfId="0" applyFont="1" applyBorder="1"/>
    <xf numFmtId="0" fontId="13" fillId="0" borderId="0" xfId="0" applyFont="1" applyBorder="1"/>
    <xf numFmtId="2" fontId="31" fillId="5" borderId="9" xfId="0" applyNumberFormat="1" applyFont="1" applyFill="1" applyBorder="1"/>
    <xf numFmtId="2" fontId="31" fillId="5" borderId="10" xfId="0" applyNumberFormat="1" applyFont="1" applyFill="1" applyBorder="1"/>
    <xf numFmtId="2" fontId="31" fillId="5" borderId="11" xfId="0" applyNumberFormat="1" applyFont="1" applyFill="1" applyBorder="1"/>
    <xf numFmtId="0" fontId="13" fillId="0" borderId="1" xfId="0" applyFont="1" applyBorder="1"/>
    <xf numFmtId="167" fontId="31" fillId="5" borderId="9" xfId="0" applyNumberFormat="1" applyFont="1" applyFill="1" applyBorder="1"/>
    <xf numFmtId="167" fontId="31" fillId="5" borderId="10" xfId="0" applyNumberFormat="1" applyFont="1" applyFill="1" applyBorder="1"/>
    <xf numFmtId="0" fontId="31" fillId="5" borderId="7" xfId="0" applyFont="1" applyFill="1" applyBorder="1"/>
    <xf numFmtId="167" fontId="31" fillId="5" borderId="11" xfId="0" applyNumberFormat="1" applyFont="1" applyFill="1" applyBorder="1"/>
    <xf numFmtId="0" fontId="31" fillId="5" borderId="5" xfId="0" applyFont="1" applyFill="1" applyBorder="1"/>
    <xf numFmtId="0" fontId="13" fillId="0" borderId="9" xfId="0" applyFont="1" applyBorder="1" applyAlignment="1">
      <alignment horizontal="center"/>
    </xf>
    <xf numFmtId="0" fontId="36" fillId="4" borderId="8" xfId="0" applyFont="1" applyFill="1" applyBorder="1"/>
    <xf numFmtId="2" fontId="36" fillId="4" borderId="1" xfId="0" applyNumberFormat="1" applyFont="1" applyFill="1" applyBorder="1"/>
    <xf numFmtId="166" fontId="13" fillId="0" borderId="4" xfId="0" applyNumberFormat="1" applyFont="1" applyBorder="1"/>
    <xf numFmtId="165" fontId="23" fillId="0" borderId="2" xfId="0" applyNumberFormat="1" applyFont="1" applyBorder="1"/>
    <xf numFmtId="165" fontId="23" fillId="0" borderId="4" xfId="0" applyNumberFormat="1" applyFont="1" applyBorder="1"/>
    <xf numFmtId="2" fontId="36" fillId="0" borderId="0" xfId="0" applyNumberFormat="1" applyFont="1"/>
    <xf numFmtId="166" fontId="13" fillId="0" borderId="7" xfId="0" applyNumberFormat="1" applyFont="1" applyBorder="1"/>
    <xf numFmtId="165" fontId="23" fillId="0" borderId="6" xfId="0" applyNumberFormat="1" applyFont="1" applyBorder="1"/>
    <xf numFmtId="166" fontId="13" fillId="0" borderId="5" xfId="0" applyNumberFormat="1" applyFont="1" applyBorder="1"/>
    <xf numFmtId="165" fontId="23" fillId="0" borderId="3" xfId="0" applyNumberFormat="1" applyFont="1" applyBorder="1"/>
    <xf numFmtId="165" fontId="23" fillId="0" borderId="5" xfId="0" applyNumberFormat="1" applyFont="1" applyBorder="1"/>
    <xf numFmtId="2" fontId="36" fillId="4" borderId="12" xfId="0" applyNumberFormat="1" applyFont="1" applyFill="1" applyBorder="1"/>
    <xf numFmtId="166" fontId="31" fillId="5" borderId="2" xfId="0" applyNumberFormat="1" applyFont="1" applyFill="1" applyBorder="1"/>
    <xf numFmtId="166" fontId="31" fillId="5" borderId="4" xfId="0" applyNumberFormat="1" applyFont="1" applyFill="1" applyBorder="1"/>
    <xf numFmtId="166" fontId="23" fillId="0" borderId="2" xfId="0" applyNumberFormat="1" applyFont="1" applyBorder="1"/>
    <xf numFmtId="166" fontId="23" fillId="0" borderId="4" xfId="0" applyNumberFormat="1" applyFont="1" applyBorder="1"/>
    <xf numFmtId="167" fontId="13" fillId="0" borderId="0" xfId="0" applyNumberFormat="1" applyFont="1"/>
    <xf numFmtId="166" fontId="31" fillId="5" borderId="6" xfId="0" applyNumberFormat="1" applyFont="1" applyFill="1" applyBorder="1"/>
    <xf numFmtId="166" fontId="31" fillId="5" borderId="7" xfId="0" applyNumberFormat="1" applyFont="1" applyFill="1" applyBorder="1"/>
    <xf numFmtId="166" fontId="23" fillId="0" borderId="6" xfId="0" applyNumberFormat="1" applyFont="1" applyBorder="1"/>
    <xf numFmtId="166" fontId="23" fillId="0" borderId="7" xfId="0" applyNumberFormat="1" applyFont="1" applyBorder="1"/>
    <xf numFmtId="166" fontId="31" fillId="5" borderId="3" xfId="0" applyNumberFormat="1" applyFont="1" applyFill="1" applyBorder="1"/>
    <xf numFmtId="166" fontId="31" fillId="5" borderId="5" xfId="0" applyNumberFormat="1" applyFont="1" applyFill="1" applyBorder="1"/>
    <xf numFmtId="166" fontId="23" fillId="0" borderId="3" xfId="0" applyNumberFormat="1" applyFont="1" applyBorder="1"/>
    <xf numFmtId="166" fontId="23" fillId="0" borderId="5" xfId="0" applyNumberFormat="1" applyFont="1" applyBorder="1"/>
    <xf numFmtId="0" fontId="13" fillId="5" borderId="13" xfId="0" applyFont="1" applyFill="1" applyBorder="1" applyAlignment="1">
      <alignment horizontal="center"/>
    </xf>
    <xf numFmtId="0" fontId="13" fillId="5" borderId="12" xfId="0" applyFont="1" applyFill="1" applyBorder="1" applyAlignment="1">
      <alignment horizontal="center"/>
    </xf>
    <xf numFmtId="165" fontId="13" fillId="5" borderId="0" xfId="0" applyNumberFormat="1" applyFont="1" applyFill="1" applyBorder="1"/>
    <xf numFmtId="165" fontId="13" fillId="5" borderId="17" xfId="0" applyNumberFormat="1" applyFont="1" applyFill="1" applyBorder="1"/>
    <xf numFmtId="0" fontId="37" fillId="0" borderId="9" xfId="0" applyFont="1" applyBorder="1" applyAlignment="1">
      <alignment horizontal="center"/>
    </xf>
    <xf numFmtId="165" fontId="13" fillId="5" borderId="18" xfId="0" applyNumberFormat="1" applyFont="1" applyFill="1" applyBorder="1"/>
    <xf numFmtId="165" fontId="20" fillId="0" borderId="2" xfId="0" applyNumberFormat="1" applyFont="1" applyBorder="1"/>
    <xf numFmtId="165" fontId="37" fillId="0" borderId="6" xfId="0" applyNumberFormat="1" applyFont="1" applyBorder="1"/>
    <xf numFmtId="165" fontId="20" fillId="0" borderId="6" xfId="0" applyNumberFormat="1" applyFont="1" applyBorder="1"/>
    <xf numFmtId="165" fontId="20" fillId="0" borderId="3" xfId="0" applyNumberFormat="1" applyFont="1" applyBorder="1"/>
    <xf numFmtId="165" fontId="20" fillId="0" borderId="9" xfId="0" applyNumberFormat="1" applyFont="1" applyBorder="1"/>
    <xf numFmtId="165" fontId="37" fillId="0" borderId="10" xfId="0" applyNumberFormat="1" applyFont="1" applyBorder="1"/>
    <xf numFmtId="165" fontId="20" fillId="0" borderId="10" xfId="0" applyNumberFormat="1" applyFont="1" applyBorder="1"/>
    <xf numFmtId="165" fontId="20" fillId="0" borderId="11" xfId="0" applyNumberFormat="1" applyFont="1" applyBorder="1"/>
    <xf numFmtId="0" fontId="13" fillId="5" borderId="18" xfId="0" applyFont="1" applyFill="1" applyBorder="1" applyAlignment="1">
      <alignment horizontal="center"/>
    </xf>
    <xf numFmtId="0" fontId="13" fillId="0" borderId="13" xfId="0" applyFont="1" applyFill="1" applyBorder="1" applyAlignment="1">
      <alignment horizontal="center"/>
    </xf>
    <xf numFmtId="166" fontId="23" fillId="5" borderId="2" xfId="0" applyNumberFormat="1" applyFont="1" applyFill="1" applyBorder="1"/>
    <xf numFmtId="166" fontId="13" fillId="5" borderId="18" xfId="0" applyNumberFormat="1" applyFont="1" applyFill="1" applyBorder="1"/>
    <xf numFmtId="166" fontId="13" fillId="5" borderId="4" xfId="0" applyNumberFormat="1" applyFont="1" applyFill="1" applyBorder="1"/>
    <xf numFmtId="0" fontId="13" fillId="0" borderId="9" xfId="0" applyFont="1" applyFill="1" applyBorder="1"/>
    <xf numFmtId="166" fontId="13" fillId="0" borderId="2" xfId="0" applyNumberFormat="1" applyFont="1" applyFill="1" applyBorder="1"/>
    <xf numFmtId="166" fontId="13" fillId="0" borderId="18" xfId="0" applyNumberFormat="1" applyFont="1" applyFill="1" applyBorder="1"/>
    <xf numFmtId="166" fontId="13" fillId="0" borderId="4" xfId="0" applyNumberFormat="1" applyFont="1" applyFill="1" applyBorder="1"/>
    <xf numFmtId="166" fontId="23" fillId="5" borderId="6" xfId="0" applyNumberFormat="1" applyFont="1" applyFill="1" applyBorder="1"/>
    <xf numFmtId="166" fontId="13" fillId="5" borderId="0" xfId="0" applyNumberFormat="1" applyFont="1" applyFill="1" applyBorder="1"/>
    <xf numFmtId="166" fontId="13" fillId="5" borderId="7" xfId="0" applyNumberFormat="1" applyFont="1" applyFill="1" applyBorder="1"/>
    <xf numFmtId="0" fontId="13" fillId="0" borderId="10" xfId="0" applyFont="1" applyFill="1" applyBorder="1"/>
    <xf numFmtId="166" fontId="13" fillId="0" borderId="6" xfId="0" applyNumberFormat="1" applyFont="1" applyFill="1" applyBorder="1"/>
    <xf numFmtId="166" fontId="13" fillId="0" borderId="0" xfId="0" applyNumberFormat="1" applyFont="1" applyFill="1" applyBorder="1"/>
    <xf numFmtId="166" fontId="13" fillId="0" borderId="7" xfId="0" applyNumberFormat="1" applyFont="1" applyFill="1" applyBorder="1"/>
    <xf numFmtId="0" fontId="13" fillId="0" borderId="11" xfId="0" applyFont="1" applyFill="1" applyBorder="1"/>
    <xf numFmtId="166" fontId="13" fillId="0" borderId="3" xfId="0" applyNumberFormat="1" applyFont="1" applyFill="1" applyBorder="1"/>
    <xf numFmtId="166" fontId="13" fillId="0" borderId="17" xfId="0" applyNumberFormat="1" applyFont="1" applyFill="1" applyBorder="1"/>
    <xf numFmtId="166" fontId="13" fillId="0" borderId="5" xfId="0" applyNumberFormat="1" applyFont="1" applyFill="1" applyBorder="1"/>
    <xf numFmtId="0" fontId="3" fillId="5" borderId="3" xfId="0" applyFont="1" applyFill="1" applyBorder="1"/>
    <xf numFmtId="166" fontId="23" fillId="5" borderId="3" xfId="0" applyNumberFormat="1" applyFont="1" applyFill="1" applyBorder="1"/>
    <xf numFmtId="166" fontId="3" fillId="5" borderId="17" xfId="0" applyNumberFormat="1" applyFont="1" applyFill="1" applyBorder="1"/>
    <xf numFmtId="166" fontId="3" fillId="5" borderId="5" xfId="0" applyNumberFormat="1" applyFont="1" applyFill="1" applyBorder="1"/>
    <xf numFmtId="0" fontId="13" fillId="0" borderId="0" xfId="0" applyFont="1" applyFill="1" applyBorder="1"/>
    <xf numFmtId="166" fontId="36" fillId="4" borderId="3" xfId="0" applyNumberFormat="1" applyFont="1" applyFill="1" applyBorder="1"/>
    <xf numFmtId="166" fontId="36" fillId="4" borderId="1" xfId="0" applyNumberFormat="1" applyFont="1" applyFill="1" applyBorder="1"/>
    <xf numFmtId="2" fontId="13" fillId="5" borderId="4" xfId="0" applyNumberFormat="1" applyFont="1" applyFill="1" applyBorder="1"/>
    <xf numFmtId="2" fontId="13" fillId="5" borderId="6" xfId="0" applyNumberFormat="1" applyFont="1" applyFill="1" applyBorder="1"/>
    <xf numFmtId="2" fontId="13" fillId="5" borderId="7" xfId="0" applyNumberFormat="1" applyFont="1" applyFill="1" applyBorder="1"/>
    <xf numFmtId="2" fontId="13" fillId="5" borderId="3" xfId="0" applyNumberFormat="1" applyFont="1" applyFill="1" applyBorder="1"/>
    <xf numFmtId="2" fontId="13" fillId="5" borderId="5" xfId="0" applyNumberFormat="1" applyFont="1" applyFill="1" applyBorder="1"/>
    <xf numFmtId="2" fontId="13" fillId="0" borderId="0" xfId="0" applyNumberFormat="1" applyFont="1" applyFill="1" applyBorder="1"/>
    <xf numFmtId="166" fontId="13" fillId="0" borderId="0" xfId="0" applyNumberFormat="1" applyFont="1" applyFill="1"/>
    <xf numFmtId="165" fontId="13" fillId="0" borderId="0" xfId="0" applyNumberFormat="1" applyFont="1" applyFill="1" applyBorder="1"/>
    <xf numFmtId="0" fontId="13" fillId="4" borderId="8" xfId="0" applyFont="1" applyFill="1" applyBorder="1"/>
    <xf numFmtId="0" fontId="13" fillId="4" borderId="6" xfId="0" applyFont="1" applyFill="1" applyBorder="1"/>
    <xf numFmtId="165" fontId="13" fillId="0" borderId="0" xfId="0" applyNumberFormat="1" applyFont="1" applyFill="1"/>
    <xf numFmtId="0" fontId="13" fillId="4" borderId="3" xfId="0" applyFont="1" applyFill="1" applyBorder="1"/>
    <xf numFmtId="0" fontId="13" fillId="0" borderId="8" xfId="0" applyFont="1" applyFill="1" applyBorder="1"/>
    <xf numFmtId="0" fontId="13" fillId="0" borderId="12" xfId="0" applyFont="1" applyFill="1" applyBorder="1"/>
    <xf numFmtId="0" fontId="13" fillId="0" borderId="1" xfId="0" applyFont="1" applyFill="1" applyBorder="1" applyAlignment="1">
      <alignment horizontal="center"/>
    </xf>
    <xf numFmtId="0" fontId="13" fillId="0" borderId="4" xfId="0" applyFont="1" applyFill="1" applyBorder="1"/>
    <xf numFmtId="165" fontId="13" fillId="0" borderId="2" xfId="0" applyNumberFormat="1" applyFont="1" applyBorder="1" applyAlignment="1">
      <alignment horizontal="right"/>
    </xf>
    <xf numFmtId="165" fontId="13" fillId="0" borderId="4" xfId="0" applyNumberFormat="1" applyFont="1" applyBorder="1" applyAlignment="1">
      <alignment horizontal="right"/>
    </xf>
    <xf numFmtId="0" fontId="13" fillId="0" borderId="7" xfId="0" applyFont="1" applyFill="1" applyBorder="1"/>
    <xf numFmtId="165" fontId="13" fillId="0" borderId="6" xfId="0" applyNumberFormat="1" applyFont="1" applyBorder="1" applyAlignment="1">
      <alignment horizontal="right"/>
    </xf>
    <xf numFmtId="165" fontId="13" fillId="0" borderId="7" xfId="0" applyNumberFormat="1" applyFont="1" applyBorder="1" applyAlignment="1">
      <alignment horizontal="right"/>
    </xf>
    <xf numFmtId="0" fontId="13" fillId="0" borderId="5" xfId="0" applyFont="1" applyFill="1" applyBorder="1"/>
    <xf numFmtId="165" fontId="13" fillId="0" borderId="3" xfId="0" applyNumberFormat="1" applyFont="1" applyBorder="1" applyAlignment="1">
      <alignment horizontal="right"/>
    </xf>
    <xf numFmtId="165" fontId="13" fillId="0" borderId="5" xfId="0" applyNumberFormat="1" applyFont="1" applyBorder="1" applyAlignment="1">
      <alignment horizontal="right"/>
    </xf>
    <xf numFmtId="0" fontId="13" fillId="0" borderId="18" xfId="0" applyFont="1" applyFill="1" applyBorder="1"/>
    <xf numFmtId="165" fontId="13" fillId="0" borderId="2" xfId="0" applyNumberFormat="1" applyFont="1" applyBorder="1"/>
    <xf numFmtId="165" fontId="13" fillId="0" borderId="4" xfId="0" applyNumberFormat="1" applyFont="1" applyBorder="1"/>
    <xf numFmtId="165" fontId="13" fillId="0" borderId="7" xfId="0" applyNumberFormat="1" applyFont="1" applyBorder="1"/>
    <xf numFmtId="0" fontId="13" fillId="0" borderId="17" xfId="0" applyFont="1" applyFill="1" applyBorder="1"/>
    <xf numFmtId="165" fontId="13" fillId="0" borderId="3" xfId="0" applyNumberFormat="1" applyFont="1" applyBorder="1"/>
    <xf numFmtId="165" fontId="13" fillId="0" borderId="5" xfId="0" applyNumberFormat="1" applyFont="1" applyBorder="1"/>
    <xf numFmtId="0" fontId="13" fillId="0" borderId="2" xfId="0" applyFont="1" applyFill="1" applyBorder="1" applyAlignment="1">
      <alignment horizontal="center"/>
    </xf>
    <xf numFmtId="0" fontId="13" fillId="0" borderId="9" xfId="0" applyFont="1" applyFill="1" applyBorder="1" applyAlignment="1">
      <alignment horizontal="center"/>
    </xf>
    <xf numFmtId="0" fontId="3" fillId="0" borderId="10" xfId="0" applyFont="1" applyBorder="1"/>
    <xf numFmtId="0" fontId="3" fillId="0" borderId="11" xfId="0" applyFont="1" applyBorder="1"/>
    <xf numFmtId="0" fontId="13" fillId="0" borderId="4" xfId="0" applyFont="1" applyFill="1" applyBorder="1" applyAlignment="1">
      <alignment horizontal="center"/>
    </xf>
    <xf numFmtId="0" fontId="3" fillId="0" borderId="3" xfId="0" applyFont="1" applyFill="1" applyBorder="1"/>
    <xf numFmtId="165" fontId="13" fillId="4" borderId="6" xfId="0" applyNumberFormat="1" applyFont="1" applyFill="1" applyBorder="1" applyAlignment="1">
      <alignment horizontal="center" vertical="center"/>
    </xf>
    <xf numFmtId="165" fontId="13" fillId="4" borderId="7" xfId="0" applyNumberFormat="1" applyFont="1" applyFill="1" applyBorder="1" applyAlignment="1">
      <alignment horizontal="center" vertical="center"/>
    </xf>
    <xf numFmtId="165" fontId="13" fillId="4" borderId="3" xfId="0" applyNumberFormat="1" applyFont="1" applyFill="1" applyBorder="1" applyAlignment="1">
      <alignment horizontal="center" vertical="center"/>
    </xf>
    <xf numFmtId="165" fontId="13" fillId="4" borderId="5" xfId="0" applyNumberFormat="1" applyFont="1" applyFill="1" applyBorder="1" applyAlignment="1">
      <alignment horizontal="center" vertical="center"/>
    </xf>
    <xf numFmtId="0" fontId="13" fillId="0" borderId="8" xfId="0" applyFont="1" applyBorder="1" applyAlignment="1">
      <alignment horizontal="center"/>
    </xf>
    <xf numFmtId="0" fontId="13" fillId="0" borderId="12" xfId="0" applyFont="1" applyBorder="1" applyAlignment="1">
      <alignment horizontal="center"/>
    </xf>
    <xf numFmtId="0" fontId="31" fillId="0" borderId="0" xfId="0" applyFont="1" applyFill="1" applyBorder="1" applyAlignment="1">
      <alignment horizontal="center" vertical="center"/>
    </xf>
    <xf numFmtId="0" fontId="13" fillId="0" borderId="2" xfId="0" applyFont="1" applyFill="1" applyBorder="1"/>
    <xf numFmtId="0" fontId="2" fillId="0" borderId="0" xfId="0" applyFont="1" applyFill="1"/>
    <xf numFmtId="0" fontId="30" fillId="0" borderId="0" xfId="0" applyFont="1" applyFill="1"/>
    <xf numFmtId="0" fontId="36" fillId="0" borderId="0" xfId="0" applyFont="1" applyFill="1"/>
    <xf numFmtId="0" fontId="36" fillId="0" borderId="0" xfId="0" applyFont="1" applyFill="1" applyBorder="1"/>
    <xf numFmtId="0" fontId="24" fillId="0" borderId="2" xfId="1" applyFont="1" applyFill="1" applyBorder="1" applyAlignment="1" applyProtection="1"/>
    <xf numFmtId="0" fontId="24" fillId="0" borderId="6" xfId="1" applyFont="1" applyFill="1" applyBorder="1" applyAlignment="1" applyProtection="1"/>
    <xf numFmtId="0" fontId="24" fillId="0" borderId="3" xfId="1" applyFont="1" applyFill="1" applyBorder="1" applyAlignment="1" applyProtection="1"/>
    <xf numFmtId="0" fontId="13" fillId="4" borderId="8" xfId="0" applyFont="1" applyFill="1" applyBorder="1" applyAlignment="1">
      <alignment horizontal="center"/>
    </xf>
    <xf numFmtId="0" fontId="3" fillId="4" borderId="8" xfId="0" applyFont="1" applyFill="1" applyBorder="1" applyAlignment="1">
      <alignment horizontal="center"/>
    </xf>
    <xf numFmtId="0" fontId="3" fillId="4" borderId="12" xfId="0" applyFont="1" applyFill="1" applyBorder="1"/>
    <xf numFmtId="0" fontId="13" fillId="0" borderId="12" xfId="0" applyFont="1" applyBorder="1" applyAlignment="1">
      <alignment horizontal="center"/>
    </xf>
    <xf numFmtId="165" fontId="36" fillId="0" borderId="0" xfId="0" applyNumberFormat="1" applyFont="1"/>
    <xf numFmtId="0" fontId="13" fillId="7" borderId="1" xfId="0" applyFont="1" applyFill="1" applyBorder="1"/>
    <xf numFmtId="0" fontId="13" fillId="7" borderId="1" xfId="0" applyFont="1" applyFill="1" applyBorder="1" applyAlignment="1">
      <alignment horizontal="center"/>
    </xf>
    <xf numFmtId="0" fontId="13" fillId="7" borderId="12" xfId="0" applyFont="1" applyFill="1" applyBorder="1" applyAlignment="1">
      <alignment horizontal="center"/>
    </xf>
    <xf numFmtId="0" fontId="13" fillId="7" borderId="10" xfId="0" applyFont="1" applyFill="1" applyBorder="1"/>
    <xf numFmtId="0" fontId="13" fillId="7" borderId="11" xfId="0" applyFont="1" applyFill="1" applyBorder="1"/>
    <xf numFmtId="0" fontId="13" fillId="7" borderId="8" xfId="0" applyFont="1" applyFill="1" applyBorder="1" applyAlignment="1">
      <alignment horizontal="center"/>
    </xf>
    <xf numFmtId="0" fontId="13" fillId="7" borderId="9" xfId="0" applyFont="1" applyFill="1" applyBorder="1"/>
    <xf numFmtId="0" fontId="39" fillId="7" borderId="2" xfId="0" applyFont="1" applyFill="1" applyBorder="1" applyAlignment="1">
      <alignment horizontal="right"/>
    </xf>
    <xf numFmtId="0" fontId="39" fillId="7" borderId="6" xfId="0" applyFont="1" applyFill="1" applyBorder="1" applyAlignment="1">
      <alignment horizontal="right"/>
    </xf>
    <xf numFmtId="0" fontId="39" fillId="7" borderId="3" xfId="0" applyFont="1" applyFill="1" applyBorder="1" applyAlignment="1">
      <alignment horizontal="right"/>
    </xf>
    <xf numFmtId="0" fontId="39" fillId="7" borderId="5" xfId="0" applyFont="1" applyFill="1" applyBorder="1" applyAlignment="1">
      <alignment horizontal="right"/>
    </xf>
    <xf numFmtId="165" fontId="11" fillId="5" borderId="6" xfId="0" applyNumberFormat="1" applyFont="1" applyFill="1" applyBorder="1"/>
    <xf numFmtId="165" fontId="11" fillId="5" borderId="3" xfId="0" applyNumberFormat="1" applyFont="1" applyFill="1" applyBorder="1"/>
    <xf numFmtId="0" fontId="2" fillId="4" borderId="1" xfId="0" applyFont="1" applyFill="1" applyBorder="1" applyAlignment="1">
      <alignment horizontal="center" vertical="center"/>
    </xf>
    <xf numFmtId="0" fontId="13" fillId="4" borderId="1" xfId="0" applyFont="1" applyFill="1" applyBorder="1" applyAlignment="1">
      <alignment horizontal="left"/>
    </xf>
    <xf numFmtId="2" fontId="3" fillId="5" borderId="3" xfId="0" applyNumberFormat="1" applyFont="1" applyFill="1" applyBorder="1"/>
    <xf numFmtId="2" fontId="3" fillId="5" borderId="17" xfId="0" applyNumberFormat="1" applyFont="1" applyFill="1" applyBorder="1"/>
    <xf numFmtId="2" fontId="3" fillId="5" borderId="5" xfId="0" applyNumberFormat="1" applyFont="1" applyFill="1" applyBorder="1"/>
    <xf numFmtId="0" fontId="30" fillId="0" borderId="0" xfId="0" applyFont="1" applyFill="1" applyBorder="1" applyAlignment="1">
      <alignment horizontal="left"/>
    </xf>
    <xf numFmtId="0" fontId="38" fillId="0" borderId="0" xfId="0" applyFont="1"/>
    <xf numFmtId="1" fontId="13" fillId="0" borderId="9" xfId="0" applyNumberFormat="1" applyFont="1" applyBorder="1"/>
    <xf numFmtId="1" fontId="13" fillId="0" borderId="10" xfId="0" applyNumberFormat="1" applyFont="1" applyBorder="1"/>
    <xf numFmtId="1" fontId="13" fillId="0" borderId="11" xfId="0" applyNumberFormat="1" applyFont="1" applyBorder="1"/>
    <xf numFmtId="1" fontId="23" fillId="5" borderId="18" xfId="0" applyNumberFormat="1" applyFont="1" applyFill="1" applyBorder="1"/>
    <xf numFmtId="1" fontId="23" fillId="5" borderId="0" xfId="0" applyNumberFormat="1" applyFont="1" applyFill="1" applyBorder="1"/>
    <xf numFmtId="1" fontId="23" fillId="5" borderId="17" xfId="0" applyNumberFormat="1" applyFont="1" applyFill="1" applyBorder="1"/>
    <xf numFmtId="0" fontId="13" fillId="0" borderId="9" xfId="0" applyFont="1" applyBorder="1"/>
    <xf numFmtId="0" fontId="13" fillId="0" borderId="10" xfId="0" applyFont="1" applyBorder="1"/>
    <xf numFmtId="0" fontId="13" fillId="0" borderId="11" xfId="0" applyFont="1" applyBorder="1"/>
    <xf numFmtId="1" fontId="39" fillId="7" borderId="4" xfId="0" applyNumberFormat="1" applyFont="1" applyFill="1" applyBorder="1" applyAlignment="1">
      <alignment horizontal="right"/>
    </xf>
    <xf numFmtId="1" fontId="39" fillId="7" borderId="7" xfId="0" applyNumberFormat="1" applyFont="1" applyFill="1" applyBorder="1" applyAlignment="1">
      <alignment horizontal="right"/>
    </xf>
    <xf numFmtId="0" fontId="13" fillId="0" borderId="0" xfId="0" quotePrefix="1" applyFont="1"/>
    <xf numFmtId="0" fontId="13" fillId="0" borderId="1" xfId="0" applyFont="1" applyBorder="1" applyAlignment="1">
      <alignment horizontal="center" vertical="center"/>
    </xf>
    <xf numFmtId="0" fontId="11" fillId="0" borderId="0" xfId="0" applyFont="1" applyBorder="1" applyAlignment="1"/>
    <xf numFmtId="0" fontId="0" fillId="0" borderId="1" xfId="0" applyBorder="1" applyAlignment="1">
      <alignment horizontal="center"/>
    </xf>
    <xf numFmtId="2" fontId="13" fillId="0" borderId="9" xfId="0" applyNumberFormat="1" applyFont="1" applyBorder="1" applyAlignment="1">
      <alignment horizontal="center"/>
    </xf>
    <xf numFmtId="2" fontId="13" fillId="0" borderId="10" xfId="0" applyNumberFormat="1" applyFont="1" applyBorder="1" applyAlignment="1">
      <alignment horizontal="center"/>
    </xf>
    <xf numFmtId="164" fontId="13" fillId="0" borderId="9" xfId="0" applyNumberFormat="1" applyFont="1" applyBorder="1" applyAlignment="1">
      <alignment horizontal="center"/>
    </xf>
    <xf numFmtId="164" fontId="13" fillId="0" borderId="10" xfId="0" applyNumberFormat="1" applyFont="1" applyBorder="1" applyAlignment="1">
      <alignment horizontal="center"/>
    </xf>
    <xf numFmtId="1" fontId="13" fillId="0" borderId="2" xfId="0" applyNumberFormat="1" applyFont="1" applyBorder="1"/>
    <xf numFmtId="165" fontId="13" fillId="0" borderId="0" xfId="0" applyNumberFormat="1" applyFont="1" applyBorder="1"/>
    <xf numFmtId="0" fontId="13" fillId="0" borderId="9" xfId="0" applyFont="1" applyBorder="1" applyAlignment="1">
      <alignment horizontal="center" vertical="center"/>
    </xf>
    <xf numFmtId="165" fontId="40" fillId="0" borderId="0" xfId="0" applyNumberFormat="1" applyFont="1" applyFill="1"/>
    <xf numFmtId="165" fontId="11" fillId="0" borderId="9" xfId="0" applyNumberFormat="1" applyFont="1" applyBorder="1"/>
    <xf numFmtId="165" fontId="11" fillId="0" borderId="10" xfId="0" applyNumberFormat="1" applyFont="1" applyBorder="1"/>
    <xf numFmtId="165" fontId="3" fillId="6" borderId="6" xfId="0" applyNumberFormat="1" applyFont="1" applyFill="1" applyBorder="1"/>
    <xf numFmtId="165" fontId="3" fillId="6" borderId="3" xfId="0" applyNumberFormat="1" applyFont="1" applyFill="1" applyBorder="1"/>
    <xf numFmtId="165" fontId="13" fillId="0" borderId="17" xfId="0" applyNumberFormat="1" applyFont="1" applyBorder="1"/>
    <xf numFmtId="165" fontId="13" fillId="4" borderId="2" xfId="0" applyNumberFormat="1" applyFont="1" applyFill="1" applyBorder="1"/>
    <xf numFmtId="165" fontId="13" fillId="4" borderId="0" xfId="0" applyNumberFormat="1" applyFont="1" applyFill="1" applyBorder="1"/>
    <xf numFmtId="165" fontId="13" fillId="4" borderId="5" xfId="0" applyNumberFormat="1" applyFont="1" applyFill="1" applyBorder="1"/>
    <xf numFmtId="0" fontId="13" fillId="5" borderId="8" xfId="0" applyFont="1" applyFill="1" applyBorder="1" applyAlignment="1">
      <alignment horizontal="right"/>
    </xf>
    <xf numFmtId="165" fontId="3" fillId="5" borderId="13" xfId="0" applyNumberFormat="1" applyFont="1" applyFill="1" applyBorder="1" applyAlignment="1">
      <alignment horizontal="right" vertical="center"/>
    </xf>
    <xf numFmtId="165" fontId="3" fillId="5" borderId="12" xfId="0" applyNumberFormat="1" applyFont="1" applyFill="1" applyBorder="1" applyAlignment="1">
      <alignment horizontal="right" vertical="center"/>
    </xf>
    <xf numFmtId="0" fontId="3" fillId="4" borderId="1" xfId="0" applyFont="1" applyFill="1" applyBorder="1"/>
    <xf numFmtId="0" fontId="24" fillId="4" borderId="8" xfId="1" applyFont="1" applyFill="1" applyBorder="1" applyAlignment="1" applyProtection="1"/>
    <xf numFmtId="0" fontId="3" fillId="4" borderId="13" xfId="0" applyFont="1" applyFill="1" applyBorder="1"/>
    <xf numFmtId="0" fontId="13" fillId="0" borderId="13" xfId="0" applyFont="1" applyFill="1" applyBorder="1"/>
    <xf numFmtId="0" fontId="13" fillId="0" borderId="3" xfId="0" applyFont="1" applyFill="1" applyBorder="1"/>
    <xf numFmtId="0" fontId="13" fillId="0" borderId="18" xfId="0" applyFont="1" applyFill="1" applyBorder="1" applyAlignment="1">
      <alignment horizontal="center"/>
    </xf>
    <xf numFmtId="165" fontId="16" fillId="0" borderId="2" xfId="0" applyNumberFormat="1" applyFont="1" applyBorder="1"/>
    <xf numFmtId="165" fontId="16" fillId="0" borderId="18" xfId="0" applyNumberFormat="1" applyFont="1" applyBorder="1"/>
    <xf numFmtId="165" fontId="16" fillId="0" borderId="4" xfId="0" applyNumberFormat="1" applyFont="1" applyBorder="1"/>
    <xf numFmtId="0" fontId="30" fillId="0" borderId="0" xfId="0" applyFont="1" applyFill="1" applyBorder="1"/>
    <xf numFmtId="165" fontId="2" fillId="7" borderId="7" xfId="0" applyNumberFormat="1" applyFont="1" applyFill="1" applyBorder="1"/>
    <xf numFmtId="165" fontId="2" fillId="7" borderId="5" xfId="0" applyNumberFormat="1" applyFont="1" applyFill="1" applyBorder="1"/>
    <xf numFmtId="165" fontId="2" fillId="0" borderId="3" xfId="0" applyNumberFormat="1" applyFont="1" applyBorder="1"/>
    <xf numFmtId="165" fontId="2" fillId="0" borderId="17" xfId="0" applyNumberFormat="1" applyFont="1" applyBorder="1"/>
    <xf numFmtId="165" fontId="2" fillId="0" borderId="5" xfId="0" applyNumberFormat="1" applyFont="1" applyBorder="1"/>
    <xf numFmtId="0" fontId="13" fillId="0" borderId="13" xfId="0" applyFont="1" applyBorder="1" applyAlignment="1">
      <alignment horizontal="center" vertical="center"/>
    </xf>
    <xf numFmtId="0" fontId="13" fillId="0" borderId="12" xfId="0" applyFont="1" applyBorder="1" applyAlignment="1">
      <alignment horizontal="center" vertical="center"/>
    </xf>
    <xf numFmtId="165" fontId="36" fillId="0" borderId="0" xfId="0" applyNumberFormat="1" applyFont="1" applyBorder="1" applyAlignment="1">
      <alignment horizontal="center"/>
    </xf>
    <xf numFmtId="165" fontId="36" fillId="0" borderId="7" xfId="0" applyNumberFormat="1" applyFont="1" applyBorder="1" applyAlignment="1">
      <alignment horizontal="center"/>
    </xf>
    <xf numFmtId="165" fontId="23" fillId="0" borderId="17" xfId="0" applyNumberFormat="1" applyFont="1" applyBorder="1" applyAlignment="1">
      <alignment horizontal="center"/>
    </xf>
    <xf numFmtId="165" fontId="23" fillId="0" borderId="5" xfId="0" applyNumberFormat="1" applyFont="1" applyBorder="1" applyAlignment="1">
      <alignment horizontal="center"/>
    </xf>
    <xf numFmtId="0" fontId="10" fillId="0" borderId="0" xfId="0" applyFont="1"/>
    <xf numFmtId="165" fontId="21" fillId="4" borderId="2" xfId="0" applyNumberFormat="1" applyFont="1" applyFill="1" applyBorder="1"/>
    <xf numFmtId="165" fontId="19" fillId="4" borderId="0" xfId="0" applyNumberFormat="1" applyFont="1" applyFill="1" applyBorder="1"/>
    <xf numFmtId="165" fontId="19" fillId="4" borderId="5" xfId="0" applyNumberFormat="1" applyFont="1" applyFill="1" applyBorder="1"/>
    <xf numFmtId="165" fontId="31" fillId="6" borderId="18" xfId="0" applyNumberFormat="1" applyFont="1" applyFill="1" applyBorder="1"/>
    <xf numFmtId="165" fontId="31" fillId="6" borderId="4" xfId="0" applyNumberFormat="1" applyFont="1" applyFill="1" applyBorder="1"/>
    <xf numFmtId="2" fontId="0" fillId="5" borderId="18" xfId="0" applyNumberFormat="1" applyFill="1" applyBorder="1"/>
    <xf numFmtId="1" fontId="23" fillId="0" borderId="0" xfId="0" applyNumberFormat="1" applyFont="1"/>
    <xf numFmtId="1" fontId="23" fillId="0" borderId="2" xfId="0" applyNumberFormat="1" applyFont="1" applyFill="1" applyBorder="1"/>
    <xf numFmtId="1" fontId="23" fillId="0" borderId="4" xfId="0" applyNumberFormat="1" applyFont="1" applyFill="1" applyBorder="1"/>
    <xf numFmtId="1" fontId="23" fillId="0" borderId="6" xfId="0" applyNumberFormat="1" applyFont="1" applyFill="1" applyBorder="1"/>
    <xf numFmtId="1" fontId="23" fillId="0" borderId="7" xfId="0" applyNumberFormat="1" applyFont="1" applyFill="1" applyBorder="1"/>
    <xf numFmtId="1" fontId="23" fillId="0" borderId="3" xfId="0" applyNumberFormat="1" applyFont="1" applyFill="1" applyBorder="1"/>
    <xf numFmtId="1" fontId="23" fillId="0" borderId="5" xfId="0" applyNumberFormat="1" applyFont="1" applyFill="1" applyBorder="1"/>
    <xf numFmtId="164" fontId="23" fillId="5" borderId="3" xfId="0" applyNumberFormat="1" applyFont="1" applyFill="1" applyBorder="1"/>
    <xf numFmtId="1" fontId="16" fillId="4" borderId="0" xfId="0" applyNumberFormat="1" applyFont="1" applyFill="1"/>
    <xf numFmtId="0" fontId="2" fillId="0" borderId="9" xfId="0" applyFont="1" applyFill="1" applyBorder="1" applyAlignment="1">
      <alignment horizontal="center"/>
    </xf>
    <xf numFmtId="2" fontId="19" fillId="0" borderId="7" xfId="0" applyNumberFormat="1" applyFont="1" applyBorder="1"/>
    <xf numFmtId="2" fontId="19" fillId="0" borderId="5" xfId="0" applyNumberFormat="1" applyFont="1" applyBorder="1"/>
    <xf numFmtId="2" fontId="13" fillId="0" borderId="0" xfId="0" applyNumberFormat="1" applyFont="1" applyAlignment="1">
      <alignment horizontal="right"/>
    </xf>
    <xf numFmtId="165" fontId="40" fillId="0" borderId="9" xfId="0" applyNumberFormat="1" applyFont="1" applyFill="1" applyBorder="1"/>
    <xf numFmtId="165" fontId="40" fillId="0" borderId="10" xfId="0" applyNumberFormat="1" applyFont="1" applyFill="1" applyBorder="1"/>
    <xf numFmtId="165" fontId="40" fillId="0" borderId="11" xfId="0" applyNumberFormat="1" applyFont="1" applyFill="1" applyBorder="1"/>
    <xf numFmtId="2" fontId="40" fillId="0" borderId="7" xfId="0" applyNumberFormat="1" applyFont="1" applyBorder="1"/>
    <xf numFmtId="2" fontId="40" fillId="0" borderId="5" xfId="0" applyNumberFormat="1" applyFont="1" applyBorder="1"/>
    <xf numFmtId="2" fontId="40" fillId="0" borderId="4" xfId="0" applyNumberFormat="1" applyFont="1" applyBorder="1"/>
    <xf numFmtId="165" fontId="34" fillId="0" borderId="0" xfId="0" applyNumberFormat="1" applyFont="1"/>
    <xf numFmtId="0" fontId="1" fillId="2" borderId="0" xfId="3" applyFont="1" applyFill="1" applyBorder="1" applyAlignment="1">
      <alignment horizontal="center"/>
    </xf>
    <xf numFmtId="0" fontId="13" fillId="0" borderId="8" xfId="0" applyFont="1" applyBorder="1" applyAlignment="1">
      <alignment horizontal="center"/>
    </xf>
    <xf numFmtId="0" fontId="13" fillId="0" borderId="12" xfId="0" applyFont="1" applyBorder="1" applyAlignment="1">
      <alignment horizontal="center"/>
    </xf>
    <xf numFmtId="0" fontId="13" fillId="0" borderId="9"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0" xfId="0" applyFont="1" applyBorder="1" applyAlignment="1">
      <alignment horizontal="center" vertical="center" wrapText="1"/>
    </xf>
  </cellXfs>
  <cellStyles count="5">
    <cellStyle name="Hyperlink" xfId="1" builtinId="8"/>
    <cellStyle name="Normal" xfId="0" builtinId="0"/>
    <cellStyle name="Normal 2" xfId="2"/>
    <cellStyle name="Normal 3" xfId="3"/>
    <cellStyle name="Normal_DVHC"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68580</xdr:colOff>
      <xdr:row>4</xdr:row>
      <xdr:rowOff>175260</xdr:rowOff>
    </xdr:to>
    <xdr:sp macro="" textlink="">
      <xdr:nvSpPr>
        <xdr:cNvPr id="2" name="WordArt 3"/>
        <xdr:cNvSpPr>
          <a:spLocks noChangeArrowheads="1" noChangeShapeType="1" noTextEdit="1"/>
        </xdr:cNvSpPr>
      </xdr:nvSpPr>
      <xdr:spPr bwMode="auto">
        <a:xfrm>
          <a:off x="1021080" y="373380"/>
          <a:ext cx="2811780" cy="373380"/>
        </a:xfrm>
        <a:prstGeom prst="rect">
          <a:avLst/>
        </a:prstGeom>
        <a:extLst/>
      </xdr:spPr>
      <xdr:txBody>
        <a:bodyPr wrap="none" fromWordArt="1">
          <a:prstTxWarp prst="textPlain">
            <a:avLst>
              <a:gd name="adj" fmla="val 50000"/>
            </a:avLst>
          </a:prstTxWarp>
        </a:bodyPr>
        <a:lstStyle/>
        <a:p>
          <a:pPr algn="ctr" rtl="0">
            <a:buNone/>
          </a:pPr>
          <a:r>
            <a:rPr lang="en-AU" sz="3600" kern="10" spc="0">
              <a:ln>
                <a:noFill/>
              </a:ln>
              <a:solidFill>
                <a:srgbClr val="000000"/>
              </a:solidFill>
              <a:effectLst>
                <a:outerShdw dist="35921" dir="2700000" algn="ctr" rotWithShape="0">
                  <a:srgbClr val="C0C0C0">
                    <a:alpha val="80000"/>
                  </a:srgbClr>
                </a:outerShdw>
              </a:effectLst>
              <a:latin typeface="Impact"/>
            </a:rPr>
            <a:t>Welcome to</a:t>
          </a:r>
        </a:p>
      </xdr:txBody>
    </xdr:sp>
    <xdr:clientData/>
  </xdr:twoCellAnchor>
  <xdr:twoCellAnchor>
    <xdr:from>
      <xdr:col>2</xdr:col>
      <xdr:colOff>434340</xdr:colOff>
      <xdr:row>5</xdr:row>
      <xdr:rowOff>114300</xdr:rowOff>
    </xdr:from>
    <xdr:to>
      <xdr:col>11</xdr:col>
      <xdr:colOff>339090</xdr:colOff>
      <xdr:row>10</xdr:row>
      <xdr:rowOff>144812</xdr:rowOff>
    </xdr:to>
    <xdr:sp macro="" textlink="">
      <xdr:nvSpPr>
        <xdr:cNvPr id="3" name="WordArt 5"/>
        <xdr:cNvSpPr>
          <a:spLocks noChangeArrowheads="1" noChangeShapeType="1" noTextEdit="1"/>
        </xdr:cNvSpPr>
      </xdr:nvSpPr>
      <xdr:spPr bwMode="auto">
        <a:xfrm>
          <a:off x="541020" y="883920"/>
          <a:ext cx="4019550" cy="1021112"/>
        </a:xfrm>
        <a:prstGeom prst="rect">
          <a:avLst/>
        </a:prstGeom>
        <a:extLst/>
      </xdr:spPr>
      <xdr:txBody>
        <a:bodyPr wrap="none" fromWordArt="1">
          <a:prstTxWarp prst="textPlain">
            <a:avLst>
              <a:gd name="adj" fmla="val 50000"/>
            </a:avLst>
          </a:prstTxWarp>
        </a:bodyPr>
        <a:lstStyle/>
        <a:p>
          <a:pPr algn="ctr" rtl="0">
            <a:buNone/>
          </a:pPr>
          <a:r>
            <a:rPr lang="en-AU" sz="3600" b="1" kern="10"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 Black"/>
            </a:rPr>
            <a:t>VPM</a:t>
          </a:r>
        </a:p>
      </xdr:txBody>
    </xdr:sp>
    <xdr:clientData/>
  </xdr:twoCellAnchor>
  <xdr:twoCellAnchor>
    <xdr:from>
      <xdr:col>4</xdr:col>
      <xdr:colOff>0</xdr:colOff>
      <xdr:row>3</xdr:row>
      <xdr:rowOff>0</xdr:rowOff>
    </xdr:from>
    <xdr:to>
      <xdr:col>10</xdr:col>
      <xdr:colOff>68580</xdr:colOff>
      <xdr:row>4</xdr:row>
      <xdr:rowOff>175260</xdr:rowOff>
    </xdr:to>
    <xdr:sp macro="" textlink="">
      <xdr:nvSpPr>
        <xdr:cNvPr id="4" name="WordArt 3"/>
        <xdr:cNvSpPr>
          <a:spLocks noChangeArrowheads="1" noChangeShapeType="1" noTextEdit="1"/>
        </xdr:cNvSpPr>
      </xdr:nvSpPr>
      <xdr:spPr bwMode="auto">
        <a:xfrm>
          <a:off x="1021080" y="304800"/>
          <a:ext cx="3101340" cy="304800"/>
        </a:xfrm>
        <a:prstGeom prst="rect">
          <a:avLst/>
        </a:prstGeom>
        <a:extLst/>
      </xdr:spPr>
      <xdr:txBody>
        <a:bodyPr wrap="none" fromWordArt="1">
          <a:prstTxWarp prst="textPlain">
            <a:avLst>
              <a:gd name="adj" fmla="val 50000"/>
            </a:avLst>
          </a:prstTxWarp>
        </a:bodyPr>
        <a:lstStyle/>
        <a:p>
          <a:pPr algn="ctr" rtl="0">
            <a:buNone/>
          </a:pPr>
          <a:r>
            <a:rPr lang="en-AU" sz="3600" kern="10" spc="0">
              <a:ln>
                <a:noFill/>
              </a:ln>
              <a:solidFill>
                <a:srgbClr val="000000"/>
              </a:solidFill>
              <a:effectLst>
                <a:outerShdw dist="35921" dir="2700000" algn="ctr" rotWithShape="0">
                  <a:srgbClr val="C0C0C0">
                    <a:alpha val="80000"/>
                  </a:srgbClr>
                </a:outerShdw>
              </a:effectLst>
              <a:latin typeface="Impact"/>
            </a:rPr>
            <a:t>Welcome to</a:t>
          </a:r>
        </a:p>
      </xdr:txBody>
    </xdr:sp>
    <xdr:clientData/>
  </xdr:twoCellAnchor>
  <xdr:twoCellAnchor>
    <xdr:from>
      <xdr:col>2</xdr:col>
      <xdr:colOff>434340</xdr:colOff>
      <xdr:row>5</xdr:row>
      <xdr:rowOff>114300</xdr:rowOff>
    </xdr:from>
    <xdr:to>
      <xdr:col>11</xdr:col>
      <xdr:colOff>339090</xdr:colOff>
      <xdr:row>10</xdr:row>
      <xdr:rowOff>144812</xdr:rowOff>
    </xdr:to>
    <xdr:sp macro="" textlink="">
      <xdr:nvSpPr>
        <xdr:cNvPr id="5" name="WordArt 5"/>
        <xdr:cNvSpPr>
          <a:spLocks noChangeArrowheads="1" noChangeShapeType="1" noTextEdit="1"/>
        </xdr:cNvSpPr>
      </xdr:nvSpPr>
      <xdr:spPr bwMode="auto">
        <a:xfrm>
          <a:off x="541020" y="723900"/>
          <a:ext cx="4309110" cy="792512"/>
        </a:xfrm>
        <a:prstGeom prst="rect">
          <a:avLst/>
        </a:prstGeom>
        <a:extLst/>
      </xdr:spPr>
      <xdr:txBody>
        <a:bodyPr wrap="none" fromWordArt="1">
          <a:prstTxWarp prst="textPlain">
            <a:avLst>
              <a:gd name="adj" fmla="val 50000"/>
            </a:avLst>
          </a:prstTxWarp>
        </a:bodyPr>
        <a:lstStyle/>
        <a:p>
          <a:pPr algn="ctr" rtl="0">
            <a:buNone/>
          </a:pPr>
          <a:r>
            <a:rPr lang="en-AU" sz="3600" b="1" kern="10"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 Black"/>
            </a:rPr>
            <a:t>VPM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zoomScale="80" zoomScaleNormal="80" workbookViewId="0">
      <selection activeCell="W8" sqref="W8"/>
    </sheetView>
  </sheetViews>
  <sheetFormatPr defaultRowHeight="15.6" x14ac:dyDescent="0.3"/>
  <cols>
    <col min="1" max="2" width="0.69921875" style="7" customWidth="1"/>
    <col min="3" max="4" width="6" style="7" customWidth="1"/>
    <col min="5" max="5" width="9.796875" style="7" customWidth="1"/>
    <col min="6" max="19" width="6" style="7" customWidth="1"/>
    <col min="20" max="20" width="0.59765625" style="7" customWidth="1"/>
    <col min="21" max="21" width="0.796875" style="7" customWidth="1"/>
    <col min="22" max="16384" width="8.796875" style="7"/>
  </cols>
  <sheetData>
    <row r="1" spans="1:21" s="18" customFormat="1" ht="7.2" customHeight="1" x14ac:dyDescent="0.3">
      <c r="A1" s="16"/>
      <c r="B1" s="14"/>
      <c r="C1" s="16"/>
      <c r="D1" s="17"/>
      <c r="E1" s="17"/>
      <c r="F1" s="17"/>
      <c r="G1" s="17"/>
      <c r="H1" s="17"/>
      <c r="I1" s="17"/>
      <c r="J1" s="17"/>
      <c r="K1" s="17"/>
      <c r="L1" s="17"/>
      <c r="M1" s="16"/>
      <c r="N1" s="16"/>
      <c r="O1" s="16"/>
      <c r="P1" s="16"/>
      <c r="Q1" s="16"/>
      <c r="R1" s="16"/>
      <c r="S1" s="16"/>
      <c r="T1" s="14"/>
      <c r="U1" s="16"/>
    </row>
    <row r="2" spans="1:21" ht="4.8" customHeight="1" x14ac:dyDescent="0.3">
      <c r="A2" s="14"/>
      <c r="B2" s="14"/>
      <c r="C2" s="14"/>
      <c r="D2" s="14"/>
      <c r="E2" s="14"/>
      <c r="F2" s="14"/>
      <c r="G2" s="14"/>
      <c r="H2" s="14"/>
      <c r="I2" s="14"/>
      <c r="J2" s="14"/>
      <c r="K2" s="14"/>
      <c r="L2" s="14"/>
      <c r="M2" s="14"/>
      <c r="N2" s="14"/>
      <c r="O2" s="14"/>
      <c r="P2" s="14"/>
      <c r="Q2" s="14"/>
      <c r="R2" s="14"/>
      <c r="S2" s="14"/>
      <c r="T2" s="14"/>
      <c r="U2" s="14"/>
    </row>
    <row r="3" spans="1:21" ht="12" customHeight="1" x14ac:dyDescent="0.3">
      <c r="A3" s="15"/>
      <c r="B3" s="14"/>
      <c r="C3" s="19"/>
      <c r="D3" s="20"/>
      <c r="E3" s="20"/>
      <c r="F3" s="20"/>
      <c r="G3" s="20"/>
      <c r="H3" s="20"/>
      <c r="I3" s="20"/>
      <c r="J3" s="20"/>
      <c r="K3" s="20"/>
      <c r="L3" s="20"/>
      <c r="M3" s="19"/>
      <c r="N3" s="19"/>
      <c r="O3" s="19"/>
      <c r="P3" s="19"/>
      <c r="Q3" s="19"/>
      <c r="R3" s="19"/>
      <c r="S3" s="19"/>
      <c r="T3" s="14"/>
      <c r="U3" s="15"/>
    </row>
    <row r="4" spans="1:21" ht="12" customHeight="1" x14ac:dyDescent="0.3">
      <c r="A4" s="15"/>
      <c r="B4" s="14"/>
      <c r="C4" s="19"/>
      <c r="D4" s="20"/>
      <c r="E4" s="20"/>
      <c r="F4" s="20"/>
      <c r="G4" s="20"/>
      <c r="H4" s="20"/>
      <c r="I4" s="20"/>
      <c r="J4" s="20"/>
      <c r="K4" s="20"/>
      <c r="L4" s="20"/>
      <c r="M4" s="19"/>
      <c r="N4" s="19"/>
      <c r="O4" s="19"/>
      <c r="P4" s="19"/>
      <c r="Q4" s="19"/>
      <c r="R4" s="19"/>
      <c r="S4" s="19"/>
      <c r="T4" s="14"/>
      <c r="U4" s="15"/>
    </row>
    <row r="5" spans="1:21" ht="12" customHeight="1" x14ac:dyDescent="0.3">
      <c r="A5" s="15"/>
      <c r="B5" s="14"/>
      <c r="C5" s="19"/>
      <c r="D5" s="20"/>
      <c r="E5" s="20"/>
      <c r="F5" s="20"/>
      <c r="G5" s="20"/>
      <c r="H5" s="20"/>
      <c r="I5" s="20"/>
      <c r="J5" s="20"/>
      <c r="K5" s="20"/>
      <c r="L5" s="20"/>
      <c r="M5" s="19"/>
      <c r="N5" s="19"/>
      <c r="O5" s="19"/>
      <c r="P5" s="19"/>
      <c r="Q5" s="19"/>
      <c r="R5" s="19"/>
      <c r="S5" s="19"/>
      <c r="T5" s="14"/>
      <c r="U5" s="15"/>
    </row>
    <row r="6" spans="1:21" ht="12" customHeight="1" x14ac:dyDescent="0.3">
      <c r="A6" s="15"/>
      <c r="B6" s="14"/>
      <c r="C6" s="19"/>
      <c r="D6" s="20"/>
      <c r="E6" s="20"/>
      <c r="F6" s="20"/>
      <c r="G6" s="20"/>
      <c r="H6" s="20"/>
      <c r="I6" s="20"/>
      <c r="J6" s="20"/>
      <c r="K6" s="20"/>
      <c r="L6" s="20"/>
      <c r="M6" s="19"/>
      <c r="N6" s="19"/>
      <c r="O6" s="19"/>
      <c r="P6" s="19"/>
      <c r="Q6" s="19"/>
      <c r="R6" s="19"/>
      <c r="S6" s="19"/>
      <c r="T6" s="14"/>
      <c r="U6" s="15"/>
    </row>
    <row r="7" spans="1:21" ht="12" customHeight="1" x14ac:dyDescent="0.3">
      <c r="A7" s="15"/>
      <c r="B7" s="14"/>
      <c r="C7" s="19"/>
      <c r="D7" s="20"/>
      <c r="E7" s="20"/>
      <c r="F7" s="20"/>
      <c r="G7" s="20"/>
      <c r="H7" s="20"/>
      <c r="I7" s="20"/>
      <c r="J7" s="20"/>
      <c r="K7" s="20"/>
      <c r="L7" s="20"/>
      <c r="M7" s="19"/>
      <c r="N7" s="19"/>
      <c r="O7" s="19"/>
      <c r="P7" s="19"/>
      <c r="Q7" s="19"/>
      <c r="R7" s="19"/>
      <c r="S7" s="19"/>
      <c r="T7" s="14"/>
      <c r="U7" s="15"/>
    </row>
    <row r="8" spans="1:21" ht="12" customHeight="1" x14ac:dyDescent="0.3">
      <c r="A8" s="15"/>
      <c r="B8" s="14"/>
      <c r="C8" s="19"/>
      <c r="D8" s="20"/>
      <c r="E8" s="20"/>
      <c r="F8" s="20"/>
      <c r="G8" s="20"/>
      <c r="H8" s="20"/>
      <c r="I8" s="20"/>
      <c r="J8" s="20"/>
      <c r="K8" s="20"/>
      <c r="L8" s="20"/>
      <c r="M8" s="19"/>
      <c r="N8" s="19"/>
      <c r="O8" s="19"/>
      <c r="P8" s="19"/>
      <c r="Q8" s="19"/>
      <c r="R8" s="19"/>
      <c r="S8" s="19"/>
      <c r="T8" s="14"/>
      <c r="U8" s="15"/>
    </row>
    <row r="9" spans="1:21" ht="12" customHeight="1" x14ac:dyDescent="0.3">
      <c r="A9" s="15"/>
      <c r="B9" s="14"/>
      <c r="C9" s="19"/>
      <c r="D9" s="20"/>
      <c r="E9" s="20"/>
      <c r="F9" s="20"/>
      <c r="G9" s="20"/>
      <c r="H9" s="20"/>
      <c r="I9" s="20"/>
      <c r="J9" s="20"/>
      <c r="K9" s="20"/>
      <c r="L9" s="20"/>
      <c r="M9" s="19"/>
      <c r="N9" s="19"/>
      <c r="O9" s="19"/>
      <c r="P9" s="19"/>
      <c r="Q9" s="19"/>
      <c r="R9" s="19"/>
      <c r="S9" s="19"/>
      <c r="T9" s="14"/>
      <c r="U9" s="15"/>
    </row>
    <row r="10" spans="1:21" ht="12" customHeight="1" x14ac:dyDescent="0.3">
      <c r="A10" s="15"/>
      <c r="B10" s="14"/>
      <c r="C10" s="19"/>
      <c r="D10" s="20"/>
      <c r="E10" s="20"/>
      <c r="F10" s="20"/>
      <c r="G10" s="20"/>
      <c r="H10" s="20"/>
      <c r="I10" s="20"/>
      <c r="J10" s="20"/>
      <c r="K10" s="20"/>
      <c r="L10" s="20"/>
      <c r="M10" s="19"/>
      <c r="N10" s="21" t="s">
        <v>328</v>
      </c>
      <c r="O10" s="19"/>
      <c r="P10" s="19"/>
      <c r="Q10" s="19"/>
      <c r="R10" s="19"/>
      <c r="S10" s="19"/>
      <c r="T10" s="14"/>
      <c r="U10" s="15"/>
    </row>
    <row r="11" spans="1:21" ht="12" customHeight="1" x14ac:dyDescent="0.3">
      <c r="A11" s="15"/>
      <c r="B11" s="14"/>
      <c r="C11" s="19"/>
      <c r="D11" s="20"/>
      <c r="E11" s="20"/>
      <c r="F11" s="20"/>
      <c r="G11" s="20"/>
      <c r="H11" s="20"/>
      <c r="I11" s="20"/>
      <c r="J11" s="20"/>
      <c r="K11" s="20"/>
      <c r="L11" s="20"/>
      <c r="M11" s="19"/>
      <c r="N11" s="22" t="s">
        <v>329</v>
      </c>
      <c r="O11" s="19"/>
      <c r="P11" s="19"/>
      <c r="Q11" s="19"/>
      <c r="R11" s="19"/>
      <c r="S11" s="19"/>
      <c r="T11" s="14"/>
      <c r="U11" s="15"/>
    </row>
    <row r="12" spans="1:21" ht="12" customHeight="1" x14ac:dyDescent="0.35">
      <c r="A12" s="15"/>
      <c r="B12" s="14"/>
      <c r="C12" s="19"/>
      <c r="D12" s="23"/>
      <c r="E12" s="20"/>
      <c r="F12" s="20"/>
      <c r="G12" s="20"/>
      <c r="H12" s="20"/>
      <c r="I12" s="20"/>
      <c r="J12" s="20"/>
      <c r="K12" s="20"/>
      <c r="L12" s="20"/>
      <c r="M12" s="19"/>
      <c r="N12" s="19"/>
      <c r="O12" s="19"/>
      <c r="P12" s="19"/>
      <c r="Q12" s="19"/>
      <c r="R12" s="19"/>
      <c r="S12" s="19"/>
      <c r="T12" s="14"/>
      <c r="U12" s="15"/>
    </row>
    <row r="13" spans="1:21" ht="12" customHeight="1" x14ac:dyDescent="0.35">
      <c r="A13" s="15"/>
      <c r="B13" s="14"/>
      <c r="C13" s="19"/>
      <c r="D13" s="590" t="s">
        <v>80</v>
      </c>
      <c r="E13" s="590"/>
      <c r="F13" s="590"/>
      <c r="G13" s="590"/>
      <c r="H13" s="590"/>
      <c r="I13" s="590"/>
      <c r="J13" s="590"/>
      <c r="K13" s="590"/>
      <c r="L13" s="590"/>
      <c r="M13" s="19"/>
      <c r="N13" s="19"/>
      <c r="O13" s="19"/>
      <c r="P13" s="19"/>
      <c r="Q13" s="19"/>
      <c r="R13" s="19"/>
      <c r="S13" s="19"/>
      <c r="T13" s="14"/>
      <c r="U13" s="15"/>
    </row>
    <row r="14" spans="1:21" ht="12" customHeight="1" x14ac:dyDescent="0.3">
      <c r="B14" s="14"/>
      <c r="C14" s="19"/>
      <c r="D14" s="20"/>
      <c r="E14" s="20"/>
      <c r="F14" s="20"/>
      <c r="G14" s="20"/>
      <c r="H14" s="20"/>
      <c r="I14" s="20"/>
      <c r="J14" s="20"/>
      <c r="K14" s="20"/>
      <c r="L14" s="20"/>
      <c r="M14" s="19"/>
      <c r="N14" s="19"/>
      <c r="O14" s="19"/>
      <c r="P14" s="19"/>
      <c r="Q14" s="19"/>
      <c r="R14" s="19"/>
      <c r="S14" s="19"/>
      <c r="T14" s="14"/>
      <c r="U14" s="15"/>
    </row>
    <row r="15" spans="1:21" ht="12" customHeight="1" x14ac:dyDescent="0.3">
      <c r="B15" s="14"/>
      <c r="C15" s="19"/>
      <c r="D15" s="24" t="s">
        <v>75</v>
      </c>
      <c r="E15" s="19"/>
      <c r="F15" s="20" t="s">
        <v>174</v>
      </c>
      <c r="G15" s="20"/>
      <c r="H15" s="20"/>
      <c r="I15" s="20"/>
      <c r="J15" s="20"/>
      <c r="K15" s="20"/>
      <c r="L15" s="20"/>
      <c r="M15" s="19"/>
      <c r="N15" s="19"/>
      <c r="O15" s="19"/>
      <c r="P15" s="19"/>
      <c r="Q15" s="19"/>
      <c r="R15" s="19"/>
      <c r="S15" s="19"/>
      <c r="T15" s="14"/>
      <c r="U15" s="15"/>
    </row>
    <row r="16" spans="1:21" ht="12" customHeight="1" x14ac:dyDescent="0.3">
      <c r="B16" s="14"/>
      <c r="C16" s="19"/>
      <c r="D16" s="20"/>
      <c r="E16" s="19"/>
      <c r="F16" s="20" t="s">
        <v>175</v>
      </c>
      <c r="G16" s="20"/>
      <c r="H16" s="20"/>
      <c r="I16" s="20"/>
      <c r="J16" s="20"/>
      <c r="K16" s="20"/>
      <c r="L16" s="20"/>
      <c r="M16" s="19"/>
      <c r="N16" s="19"/>
      <c r="O16" s="19"/>
      <c r="P16" s="19"/>
      <c r="Q16" s="19"/>
      <c r="R16" s="19"/>
      <c r="S16" s="19"/>
      <c r="T16" s="14"/>
      <c r="U16" s="15"/>
    </row>
    <row r="17" spans="1:21" ht="12" customHeight="1" x14ac:dyDescent="0.3">
      <c r="B17" s="14"/>
      <c r="C17" s="19"/>
      <c r="D17" s="20"/>
      <c r="E17" s="20"/>
      <c r="F17" s="20" t="s">
        <v>176</v>
      </c>
      <c r="G17" s="20"/>
      <c r="H17" s="20"/>
      <c r="I17" s="20"/>
      <c r="J17" s="20"/>
      <c r="K17" s="20"/>
      <c r="L17" s="20"/>
      <c r="M17" s="19"/>
      <c r="N17" s="19"/>
      <c r="O17" s="19"/>
      <c r="P17" s="19"/>
      <c r="Q17" s="19"/>
      <c r="R17" s="19"/>
      <c r="S17" s="19"/>
      <c r="T17" s="14"/>
      <c r="U17" s="15"/>
    </row>
    <row r="18" spans="1:21" ht="12" customHeight="1" x14ac:dyDescent="0.3">
      <c r="B18" s="14"/>
      <c r="C18" s="19"/>
      <c r="D18" s="25" t="s">
        <v>76</v>
      </c>
      <c r="E18" s="19"/>
      <c r="F18" s="26" t="s">
        <v>86</v>
      </c>
      <c r="G18" s="27"/>
      <c r="H18" s="27"/>
      <c r="I18" s="27"/>
      <c r="J18" s="27"/>
      <c r="K18" s="27"/>
      <c r="L18" s="28"/>
      <c r="M18" s="19"/>
      <c r="N18" s="20" t="s">
        <v>77</v>
      </c>
      <c r="O18" s="19"/>
      <c r="P18" s="19"/>
      <c r="Q18" s="19"/>
      <c r="R18" s="19"/>
      <c r="S18" s="19"/>
      <c r="T18" s="14"/>
      <c r="U18" s="15"/>
    </row>
    <row r="19" spans="1:21" ht="12" customHeight="1" x14ac:dyDescent="0.3">
      <c r="B19" s="14"/>
      <c r="C19" s="19"/>
      <c r="D19" s="20"/>
      <c r="E19" s="20"/>
      <c r="F19" s="20"/>
      <c r="G19" s="20"/>
      <c r="H19" s="20"/>
      <c r="I19" s="20"/>
      <c r="J19" s="20"/>
      <c r="K19" s="20"/>
      <c r="L19" s="20"/>
      <c r="M19" s="19"/>
      <c r="N19" s="20" t="s">
        <v>78</v>
      </c>
      <c r="O19" s="19"/>
      <c r="P19" s="19"/>
      <c r="Q19" s="19"/>
      <c r="R19" s="19"/>
      <c r="S19" s="19"/>
      <c r="T19" s="14"/>
      <c r="U19" s="15"/>
    </row>
    <row r="20" spans="1:21" ht="12" customHeight="1" x14ac:dyDescent="0.3">
      <c r="B20" s="14"/>
      <c r="C20" s="19"/>
      <c r="D20" s="20" t="s">
        <v>81</v>
      </c>
      <c r="E20" s="20"/>
      <c r="F20" s="20"/>
      <c r="G20" s="20"/>
      <c r="H20" s="20"/>
      <c r="I20" s="20"/>
      <c r="J20" s="20"/>
      <c r="K20" s="20"/>
      <c r="L20" s="20"/>
      <c r="M20" s="19"/>
      <c r="N20" s="19"/>
      <c r="O20" s="19"/>
      <c r="P20" s="19"/>
      <c r="Q20" s="19"/>
      <c r="R20" s="19"/>
      <c r="S20" s="19"/>
      <c r="T20" s="14"/>
      <c r="U20" s="15"/>
    </row>
    <row r="21" spans="1:21" ht="12" customHeight="1" x14ac:dyDescent="0.3">
      <c r="A21" s="15"/>
      <c r="B21" s="14"/>
      <c r="C21" s="19"/>
      <c r="D21" s="20" t="s">
        <v>79</v>
      </c>
      <c r="E21" s="20"/>
      <c r="F21" s="20"/>
      <c r="G21" s="20"/>
      <c r="H21" s="20"/>
      <c r="I21" s="20"/>
      <c r="J21" s="20"/>
      <c r="K21" s="20"/>
      <c r="L21" s="20"/>
      <c r="M21" s="19"/>
      <c r="N21" s="19"/>
      <c r="O21" s="19"/>
      <c r="P21" s="19"/>
      <c r="Q21" s="19"/>
      <c r="R21" s="19"/>
      <c r="S21" s="19"/>
      <c r="T21" s="14"/>
      <c r="U21" s="15"/>
    </row>
    <row r="22" spans="1:21" ht="12" customHeight="1" x14ac:dyDescent="0.3">
      <c r="A22" s="15"/>
      <c r="B22" s="14"/>
      <c r="C22" s="19"/>
      <c r="D22" s="20" t="s">
        <v>330</v>
      </c>
      <c r="E22" s="20"/>
      <c r="F22" s="20"/>
      <c r="G22" s="20"/>
      <c r="H22" s="20"/>
      <c r="I22" s="20"/>
      <c r="J22" s="20"/>
      <c r="K22" s="20"/>
      <c r="L22" s="20"/>
      <c r="M22" s="19"/>
      <c r="N22" s="19"/>
      <c r="O22" s="19"/>
      <c r="P22" s="19"/>
      <c r="Q22" s="19"/>
      <c r="R22" s="19"/>
      <c r="S22" s="19"/>
      <c r="T22" s="14"/>
      <c r="U22" s="15"/>
    </row>
    <row r="23" spans="1:21" ht="12" customHeight="1" x14ac:dyDescent="0.3">
      <c r="A23" s="15"/>
      <c r="B23" s="14"/>
      <c r="C23" s="19"/>
      <c r="D23" s="19"/>
      <c r="E23" s="19"/>
      <c r="F23" s="19"/>
      <c r="G23" s="19"/>
      <c r="H23" s="19"/>
      <c r="I23" s="19"/>
      <c r="J23" s="19"/>
      <c r="K23" s="19"/>
      <c r="L23" s="19"/>
      <c r="M23" s="19"/>
      <c r="N23" s="19"/>
      <c r="O23" s="19"/>
      <c r="P23" s="19"/>
      <c r="Q23" s="19"/>
      <c r="R23" s="19"/>
      <c r="S23" s="19"/>
      <c r="T23" s="14"/>
      <c r="U23" s="15"/>
    </row>
    <row r="24" spans="1:21" ht="12" customHeight="1" x14ac:dyDescent="0.3">
      <c r="A24" s="14"/>
      <c r="B24" s="14"/>
      <c r="C24" s="14"/>
      <c r="D24" s="14"/>
      <c r="E24" s="14"/>
      <c r="F24" s="14"/>
      <c r="G24" s="14"/>
      <c r="H24" s="14"/>
      <c r="I24" s="14"/>
      <c r="J24" s="14"/>
      <c r="K24" s="14"/>
      <c r="L24" s="14"/>
      <c r="M24" s="14"/>
      <c r="N24" s="14"/>
      <c r="O24" s="14"/>
      <c r="P24" s="14"/>
      <c r="Q24" s="14"/>
      <c r="R24" s="14"/>
      <c r="S24" s="14"/>
      <c r="T24" s="14"/>
      <c r="U24" s="14"/>
    </row>
    <row r="25" spans="1:21" ht="12" customHeight="1" x14ac:dyDescent="0.3">
      <c r="A25" s="15"/>
      <c r="B25" s="14"/>
      <c r="C25" s="15"/>
      <c r="D25" s="15"/>
      <c r="E25" s="15"/>
      <c r="F25" s="15"/>
      <c r="G25" s="15"/>
      <c r="H25" s="15"/>
      <c r="I25" s="15"/>
      <c r="J25" s="15"/>
      <c r="K25" s="15"/>
      <c r="L25" s="15"/>
      <c r="M25" s="15"/>
      <c r="N25" s="15"/>
      <c r="O25" s="15"/>
      <c r="P25" s="15"/>
      <c r="Q25" s="15"/>
      <c r="R25" s="15"/>
      <c r="S25" s="15"/>
      <c r="T25" s="14"/>
      <c r="U25" s="15"/>
    </row>
    <row r="26" spans="1:21" ht="12" customHeight="1" x14ac:dyDescent="0.3"/>
    <row r="27" spans="1:21" ht="12" customHeight="1" x14ac:dyDescent="0.3"/>
    <row r="28" spans="1:21" ht="12" customHeight="1" x14ac:dyDescent="0.3"/>
    <row r="29" spans="1:21" ht="12" customHeight="1" x14ac:dyDescent="0.3"/>
    <row r="30" spans="1:21" ht="12" customHeight="1" x14ac:dyDescent="0.3"/>
    <row r="31" spans="1:21" ht="12" customHeight="1" x14ac:dyDescent="0.3"/>
    <row r="32" spans="1:21" ht="12" customHeight="1" x14ac:dyDescent="0.3"/>
    <row r="33" ht="12" customHeight="1" x14ac:dyDescent="0.3"/>
    <row r="34" ht="12" customHeight="1" x14ac:dyDescent="0.3"/>
    <row r="35" ht="4.2" customHeight="1" x14ac:dyDescent="0.3"/>
    <row r="36" ht="3.6" customHeight="1" x14ac:dyDescent="0.3"/>
  </sheetData>
  <mergeCells count="1">
    <mergeCell ref="D13:L13"/>
  </mergeCells>
  <hyperlinks>
    <hyperlink ref="N19" location="'Trade prices'!A1" display="Import and export prices"/>
    <hyperlink ref="N17" location="Income!A1" display="Income growth rates"/>
    <hyperlink ref="N18" location="Population!A1" display="Population growth rates"/>
    <hyperlink ref="N20" location="Input!A1" display="All input data"/>
    <hyperlink ref="N16" location="'Production growth'!A1" display="Productivty growth"/>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44"/>
  <sheetViews>
    <sheetView tabSelected="1" topLeftCell="A328" zoomScale="80" zoomScaleNormal="80" workbookViewId="0">
      <selection activeCell="J337" sqref="J337"/>
    </sheetView>
  </sheetViews>
  <sheetFormatPr defaultRowHeight="15.6" x14ac:dyDescent="0.3"/>
  <cols>
    <col min="1" max="1" width="11.19921875" style="7" customWidth="1"/>
    <col min="2" max="2" width="12.19921875" style="7" bestFit="1" customWidth="1"/>
    <col min="3" max="4" width="17.19921875" style="7" customWidth="1"/>
    <col min="5" max="5" width="10.09765625" style="7" customWidth="1"/>
    <col min="6" max="6" width="11.09765625" style="7" customWidth="1"/>
    <col min="7" max="7" width="10.796875" style="7" customWidth="1"/>
    <col min="8" max="8" width="9.69921875" style="7" customWidth="1"/>
    <col min="9" max="9" width="10.796875" style="7" customWidth="1"/>
    <col min="10" max="10" width="10.59765625" style="7" customWidth="1"/>
    <col min="11" max="11" width="8.796875" style="7" customWidth="1"/>
    <col min="12" max="12" width="10.09765625" style="7" customWidth="1"/>
    <col min="13" max="13" width="10.19921875" style="7" customWidth="1"/>
    <col min="14" max="15" width="7.59765625" style="7" bestFit="1" customWidth="1"/>
    <col min="16" max="16" width="11.8984375" style="7" bestFit="1" customWidth="1"/>
    <col min="17" max="23" width="7.296875" style="7" bestFit="1" customWidth="1"/>
    <col min="24" max="31" width="9.69921875" style="7" bestFit="1" customWidth="1"/>
    <col min="32" max="16384" width="8.796875" style="7"/>
  </cols>
  <sheetData>
    <row r="1" spans="1:8" ht="16.2" x14ac:dyDescent="0.35">
      <c r="A1" s="199" t="s">
        <v>0</v>
      </c>
      <c r="B1" s="18"/>
      <c r="C1" s="18"/>
      <c r="D1" s="18"/>
      <c r="H1" s="181" t="s">
        <v>325</v>
      </c>
    </row>
    <row r="2" spans="1:8" ht="16.2" thickBot="1" x14ac:dyDescent="0.35">
      <c r="A2" s="476" t="s">
        <v>228</v>
      </c>
      <c r="B2" s="477" t="s">
        <v>74</v>
      </c>
      <c r="C2" s="18"/>
      <c r="D2" s="478"/>
      <c r="E2" s="18"/>
      <c r="H2" s="275" t="s">
        <v>298</v>
      </c>
    </row>
    <row r="3" spans="1:8" ht="16.2" thickBot="1" x14ac:dyDescent="0.35">
      <c r="A3" s="409"/>
      <c r="B3" s="475"/>
      <c r="C3" s="446"/>
      <c r="D3" s="462" t="s">
        <v>2</v>
      </c>
      <c r="E3" s="466" t="s">
        <v>3</v>
      </c>
    </row>
    <row r="4" spans="1:8" x14ac:dyDescent="0.3">
      <c r="A4" s="203" t="s">
        <v>4</v>
      </c>
      <c r="B4" s="480" t="s">
        <v>112</v>
      </c>
      <c r="C4" s="205" t="s">
        <v>246</v>
      </c>
      <c r="D4" s="204">
        <v>1</v>
      </c>
      <c r="E4" s="205">
        <v>1</v>
      </c>
    </row>
    <row r="5" spans="1:8" x14ac:dyDescent="0.3">
      <c r="A5" s="206" t="s">
        <v>4</v>
      </c>
      <c r="B5" s="481" t="s">
        <v>5</v>
      </c>
      <c r="C5" s="208" t="s">
        <v>247</v>
      </c>
      <c r="D5" s="207">
        <v>2</v>
      </c>
      <c r="E5" s="208">
        <v>1</v>
      </c>
      <c r="G5" s="181"/>
    </row>
    <row r="6" spans="1:8" x14ac:dyDescent="0.3">
      <c r="A6" s="206" t="s">
        <v>4</v>
      </c>
      <c r="B6" s="481" t="s">
        <v>6</v>
      </c>
      <c r="C6" s="208" t="s">
        <v>248</v>
      </c>
      <c r="D6" s="207">
        <v>2</v>
      </c>
      <c r="E6" s="208">
        <v>1</v>
      </c>
    </row>
    <row r="7" spans="1:8" x14ac:dyDescent="0.3">
      <c r="A7" s="206" t="s">
        <v>4</v>
      </c>
      <c r="B7" s="481" t="s">
        <v>7</v>
      </c>
      <c r="C7" s="208" t="s">
        <v>249</v>
      </c>
      <c r="D7" s="207">
        <v>2</v>
      </c>
      <c r="E7" s="208">
        <v>1</v>
      </c>
    </row>
    <row r="8" spans="1:8" x14ac:dyDescent="0.3">
      <c r="A8" s="206" t="s">
        <v>4</v>
      </c>
      <c r="B8" s="481" t="s">
        <v>8</v>
      </c>
      <c r="C8" s="208" t="s">
        <v>250</v>
      </c>
      <c r="D8" s="207">
        <v>2</v>
      </c>
      <c r="E8" s="208">
        <v>1</v>
      </c>
    </row>
    <row r="9" spans="1:8" x14ac:dyDescent="0.3">
      <c r="A9" s="206" t="s">
        <v>4</v>
      </c>
      <c r="B9" s="481" t="s">
        <v>9</v>
      </c>
      <c r="C9" s="208" t="s">
        <v>251</v>
      </c>
      <c r="D9" s="207">
        <v>2</v>
      </c>
      <c r="E9" s="208">
        <v>1</v>
      </c>
    </row>
    <row r="10" spans="1:8" x14ac:dyDescent="0.3">
      <c r="A10" s="206" t="s">
        <v>4</v>
      </c>
      <c r="B10" s="481" t="s">
        <v>10</v>
      </c>
      <c r="C10" s="208" t="s">
        <v>252</v>
      </c>
      <c r="D10" s="207">
        <v>2</v>
      </c>
      <c r="E10" s="208">
        <v>1</v>
      </c>
    </row>
    <row r="11" spans="1:8" x14ac:dyDescent="0.3">
      <c r="A11" s="206" t="s">
        <v>4</v>
      </c>
      <c r="B11" s="481" t="s">
        <v>11</v>
      </c>
      <c r="C11" s="208" t="s">
        <v>253</v>
      </c>
      <c r="D11" s="207">
        <v>2</v>
      </c>
      <c r="E11" s="208">
        <v>1</v>
      </c>
    </row>
    <row r="12" spans="1:8" x14ac:dyDescent="0.3">
      <c r="A12" s="206" t="s">
        <v>4</v>
      </c>
      <c r="B12" s="481" t="s">
        <v>12</v>
      </c>
      <c r="C12" s="208" t="s">
        <v>254</v>
      </c>
      <c r="D12" s="207">
        <v>2</v>
      </c>
      <c r="E12" s="208">
        <v>1</v>
      </c>
    </row>
    <row r="13" spans="1:8" x14ac:dyDescent="0.3">
      <c r="A13" s="206" t="s">
        <v>4</v>
      </c>
      <c r="B13" s="481" t="s">
        <v>114</v>
      </c>
      <c r="C13" s="208" t="s">
        <v>255</v>
      </c>
      <c r="D13" s="207">
        <v>1</v>
      </c>
      <c r="E13" s="208">
        <v>1</v>
      </c>
    </row>
    <row r="14" spans="1:8" x14ac:dyDescent="0.3">
      <c r="A14" s="206" t="s">
        <v>4</v>
      </c>
      <c r="B14" s="481" t="s">
        <v>115</v>
      </c>
      <c r="C14" s="208" t="s">
        <v>256</v>
      </c>
      <c r="D14" s="207">
        <v>1</v>
      </c>
      <c r="E14" s="208">
        <v>1</v>
      </c>
    </row>
    <row r="15" spans="1:8" x14ac:dyDescent="0.3">
      <c r="A15" s="206" t="s">
        <v>4</v>
      </c>
      <c r="B15" s="481" t="s">
        <v>13</v>
      </c>
      <c r="C15" s="208" t="s">
        <v>257</v>
      </c>
      <c r="D15" s="207">
        <v>1</v>
      </c>
      <c r="E15" s="208">
        <v>1</v>
      </c>
    </row>
    <row r="16" spans="1:8" x14ac:dyDescent="0.3">
      <c r="A16" s="206" t="s">
        <v>4</v>
      </c>
      <c r="B16" s="481" t="s">
        <v>14</v>
      </c>
      <c r="C16" s="208" t="s">
        <v>258</v>
      </c>
      <c r="D16" s="207">
        <v>1</v>
      </c>
      <c r="E16" s="208">
        <v>1</v>
      </c>
    </row>
    <row r="17" spans="1:7" x14ac:dyDescent="0.3">
      <c r="A17" s="206" t="s">
        <v>4</v>
      </c>
      <c r="B17" s="481" t="s">
        <v>15</v>
      </c>
      <c r="C17" s="208" t="s">
        <v>259</v>
      </c>
      <c r="D17" s="207">
        <v>2</v>
      </c>
      <c r="E17" s="208">
        <v>1</v>
      </c>
    </row>
    <row r="18" spans="1:7" x14ac:dyDescent="0.3">
      <c r="A18" s="206" t="s">
        <v>4</v>
      </c>
      <c r="B18" s="481" t="s">
        <v>16</v>
      </c>
      <c r="C18" s="208" t="s">
        <v>260</v>
      </c>
      <c r="D18" s="207">
        <v>1</v>
      </c>
      <c r="E18" s="208">
        <v>1</v>
      </c>
    </row>
    <row r="19" spans="1:7" x14ac:dyDescent="0.3">
      <c r="A19" s="206" t="s">
        <v>4</v>
      </c>
      <c r="B19" s="481" t="s">
        <v>17</v>
      </c>
      <c r="C19" s="208" t="s">
        <v>261</v>
      </c>
      <c r="D19" s="207">
        <v>1</v>
      </c>
      <c r="E19" s="208">
        <v>1</v>
      </c>
    </row>
    <row r="20" spans="1:7" x14ac:dyDescent="0.3">
      <c r="A20" s="206" t="s">
        <v>4</v>
      </c>
      <c r="B20" s="481" t="s">
        <v>73</v>
      </c>
      <c r="C20" s="208" t="s">
        <v>262</v>
      </c>
      <c r="D20" s="207">
        <v>1</v>
      </c>
      <c r="E20" s="208">
        <v>1</v>
      </c>
    </row>
    <row r="21" spans="1:7" x14ac:dyDescent="0.3">
      <c r="A21" s="206" t="s">
        <v>4</v>
      </c>
      <c r="B21" s="481" t="s">
        <v>88</v>
      </c>
      <c r="C21" s="208" t="s">
        <v>263</v>
      </c>
      <c r="D21" s="207">
        <v>1</v>
      </c>
      <c r="E21" s="208">
        <v>1</v>
      </c>
    </row>
    <row r="22" spans="1:7" x14ac:dyDescent="0.3">
      <c r="A22" s="206" t="s">
        <v>4</v>
      </c>
      <c r="B22" s="481" t="s">
        <v>84</v>
      </c>
      <c r="C22" s="208" t="s">
        <v>264</v>
      </c>
      <c r="D22" s="207">
        <v>1</v>
      </c>
      <c r="E22" s="208">
        <v>1</v>
      </c>
    </row>
    <row r="23" spans="1:7" x14ac:dyDescent="0.3">
      <c r="A23" s="206" t="s">
        <v>4</v>
      </c>
      <c r="B23" s="481" t="s">
        <v>85</v>
      </c>
      <c r="C23" s="208" t="s">
        <v>265</v>
      </c>
      <c r="D23" s="207">
        <v>1</v>
      </c>
      <c r="E23" s="208">
        <v>1</v>
      </c>
    </row>
    <row r="24" spans="1:7" x14ac:dyDescent="0.3">
      <c r="A24" s="206" t="s">
        <v>4</v>
      </c>
      <c r="B24" s="481" t="s">
        <v>18</v>
      </c>
      <c r="C24" s="208" t="s">
        <v>165</v>
      </c>
      <c r="D24" s="207">
        <v>1</v>
      </c>
      <c r="E24" s="208">
        <v>1</v>
      </c>
    </row>
    <row r="25" spans="1:7" x14ac:dyDescent="0.3">
      <c r="A25" s="206" t="s">
        <v>4</v>
      </c>
      <c r="B25" s="481" t="s">
        <v>19</v>
      </c>
      <c r="C25" s="208" t="s">
        <v>266</v>
      </c>
      <c r="D25" s="207">
        <v>1</v>
      </c>
      <c r="E25" s="208">
        <v>1</v>
      </c>
    </row>
    <row r="26" spans="1:7" x14ac:dyDescent="0.3">
      <c r="A26" s="206" t="s">
        <v>4</v>
      </c>
      <c r="B26" s="481" t="s">
        <v>20</v>
      </c>
      <c r="C26" s="208" t="s">
        <v>267</v>
      </c>
      <c r="D26" s="207">
        <v>2</v>
      </c>
      <c r="E26" s="208">
        <v>1</v>
      </c>
    </row>
    <row r="27" spans="1:7" x14ac:dyDescent="0.3">
      <c r="A27" s="206" t="s">
        <v>4</v>
      </c>
      <c r="B27" s="481" t="s">
        <v>21</v>
      </c>
      <c r="C27" s="208" t="s">
        <v>268</v>
      </c>
      <c r="D27" s="207">
        <v>1</v>
      </c>
      <c r="E27" s="208">
        <v>1</v>
      </c>
    </row>
    <row r="28" spans="1:7" x14ac:dyDescent="0.3">
      <c r="A28" s="206" t="s">
        <v>4</v>
      </c>
      <c r="B28" s="481" t="s">
        <v>22</v>
      </c>
      <c r="C28" s="208" t="s">
        <v>269</v>
      </c>
      <c r="D28" s="207">
        <v>2</v>
      </c>
      <c r="E28" s="208">
        <v>1</v>
      </c>
    </row>
    <row r="29" spans="1:7" x14ac:dyDescent="0.3">
      <c r="A29" s="206" t="s">
        <v>4</v>
      </c>
      <c r="B29" s="481" t="s">
        <v>23</v>
      </c>
      <c r="C29" s="208" t="s">
        <v>270</v>
      </c>
      <c r="D29" s="207">
        <v>3</v>
      </c>
      <c r="E29" s="208">
        <v>1</v>
      </c>
      <c r="G29" s="479"/>
    </row>
    <row r="30" spans="1:7" x14ac:dyDescent="0.3">
      <c r="A30" s="206" t="s">
        <v>4</v>
      </c>
      <c r="B30" s="481" t="s">
        <v>24</v>
      </c>
      <c r="C30" s="208" t="s">
        <v>271</v>
      </c>
      <c r="D30" s="207">
        <v>1</v>
      </c>
      <c r="E30" s="208">
        <v>1</v>
      </c>
    </row>
    <row r="31" spans="1:7" x14ac:dyDescent="0.3">
      <c r="A31" s="464" t="s">
        <v>4</v>
      </c>
      <c r="B31" s="481" t="s">
        <v>184</v>
      </c>
      <c r="C31" s="208" t="s">
        <v>272</v>
      </c>
      <c r="D31" s="207">
        <v>1</v>
      </c>
      <c r="E31" s="208">
        <v>1</v>
      </c>
    </row>
    <row r="32" spans="1:7" x14ac:dyDescent="0.3">
      <c r="A32" s="464" t="s">
        <v>4</v>
      </c>
      <c r="B32" s="481" t="s">
        <v>229</v>
      </c>
      <c r="C32" s="208" t="s">
        <v>273</v>
      </c>
      <c r="D32" s="207">
        <v>1</v>
      </c>
      <c r="E32" s="208">
        <v>1</v>
      </c>
    </row>
    <row r="33" spans="1:13" x14ac:dyDescent="0.3">
      <c r="A33" s="464" t="s">
        <v>4</v>
      </c>
      <c r="B33" s="481" t="s">
        <v>277</v>
      </c>
      <c r="C33" s="208" t="s">
        <v>296</v>
      </c>
      <c r="D33" s="207">
        <v>1</v>
      </c>
      <c r="E33" s="208">
        <v>1</v>
      </c>
    </row>
    <row r="34" spans="1:13" ht="16.2" thickBot="1" x14ac:dyDescent="0.35">
      <c r="A34" s="465" t="s">
        <v>4</v>
      </c>
      <c r="B34" s="482" t="s">
        <v>278</v>
      </c>
      <c r="C34" s="209" t="s">
        <v>297</v>
      </c>
      <c r="D34" s="467">
        <v>1</v>
      </c>
      <c r="E34" s="209">
        <v>1</v>
      </c>
    </row>
    <row r="35" spans="1:13" s="354" customFormat="1" x14ac:dyDescent="0.3"/>
    <row r="36" spans="1:13" ht="16.2" thickBot="1" x14ac:dyDescent="0.35">
      <c r="A36" s="147" t="s">
        <v>113</v>
      </c>
      <c r="I36" s="275" t="s">
        <v>327</v>
      </c>
    </row>
    <row r="37" spans="1:13" ht="16.2" thickBot="1" x14ac:dyDescent="0.35">
      <c r="A37" s="210"/>
      <c r="B37" s="211" t="s">
        <v>70</v>
      </c>
      <c r="C37" s="211" t="s">
        <v>87</v>
      </c>
      <c r="D37" s="211" t="s">
        <v>71</v>
      </c>
      <c r="E37" s="211" t="s">
        <v>72</v>
      </c>
      <c r="F37" s="212" t="s">
        <v>111</v>
      </c>
      <c r="H37" s="195"/>
      <c r="I37" s="542" t="s">
        <v>4</v>
      </c>
      <c r="J37" s="543" t="s">
        <v>245</v>
      </c>
      <c r="K37" s="485" t="s">
        <v>299</v>
      </c>
      <c r="L37" s="544">
        <v>2</v>
      </c>
      <c r="M37" s="485">
        <v>1</v>
      </c>
    </row>
    <row r="38" spans="1:13" x14ac:dyDescent="0.3">
      <c r="A38" s="213" t="s">
        <v>27</v>
      </c>
      <c r="B38" s="214">
        <v>0.9</v>
      </c>
      <c r="C38" s="215">
        <v>0.1</v>
      </c>
      <c r="D38" s="216">
        <v>1</v>
      </c>
      <c r="E38" s="217"/>
      <c r="F38" s="218"/>
      <c r="G38" s="219"/>
      <c r="H38" s="4"/>
    </row>
    <row r="39" spans="1:13" x14ac:dyDescent="0.3">
      <c r="A39" s="220" t="s">
        <v>36</v>
      </c>
      <c r="B39" s="221">
        <v>0.5</v>
      </c>
      <c r="C39" s="222">
        <v>0.05</v>
      </c>
      <c r="D39" s="223">
        <v>3</v>
      </c>
      <c r="E39" s="224"/>
      <c r="F39" s="225">
        <v>3.8</v>
      </c>
      <c r="G39" s="219"/>
    </row>
    <row r="40" spans="1:13" x14ac:dyDescent="0.3">
      <c r="A40" s="220" t="s">
        <v>37</v>
      </c>
      <c r="B40" s="221">
        <v>0.5</v>
      </c>
      <c r="C40" s="222">
        <v>0.05</v>
      </c>
      <c r="D40" s="223">
        <v>3</v>
      </c>
      <c r="E40" s="224">
        <v>10000</v>
      </c>
      <c r="F40" s="225">
        <v>3</v>
      </c>
      <c r="G40" s="219"/>
    </row>
    <row r="41" spans="1:13" ht="16.2" thickBot="1" x14ac:dyDescent="0.35">
      <c r="A41" s="226" t="s">
        <v>38</v>
      </c>
      <c r="B41" s="227">
        <v>0.5</v>
      </c>
      <c r="C41" s="228">
        <v>0.05</v>
      </c>
      <c r="D41" s="229">
        <v>3</v>
      </c>
      <c r="E41" s="230">
        <v>10000</v>
      </c>
      <c r="F41" s="231">
        <v>2.8</v>
      </c>
      <c r="G41" s="219"/>
    </row>
    <row r="42" spans="1:13" x14ac:dyDescent="0.3">
      <c r="G42" s="219"/>
    </row>
    <row r="43" spans="1:13" ht="16.2" thickBot="1" x14ac:dyDescent="0.35">
      <c r="A43" s="147" t="s">
        <v>207</v>
      </c>
      <c r="G43" s="219"/>
    </row>
    <row r="44" spans="1:13" ht="16.2" thickBot="1" x14ac:dyDescent="0.35">
      <c r="A44" s="232"/>
      <c r="B44" s="233"/>
      <c r="C44" s="234" t="s">
        <v>25</v>
      </c>
      <c r="D44" s="234" t="s">
        <v>26</v>
      </c>
      <c r="E44" s="127" t="s">
        <v>185</v>
      </c>
      <c r="G44" s="194" t="s">
        <v>331</v>
      </c>
    </row>
    <row r="45" spans="1:13" x14ac:dyDescent="0.3">
      <c r="A45" s="220" t="s">
        <v>27</v>
      </c>
      <c r="B45" s="220" t="s">
        <v>28</v>
      </c>
      <c r="C45" s="235">
        <f>ROUND(E45*C587/E587,3)</f>
        <v>134.58000000000001</v>
      </c>
      <c r="D45" s="236">
        <f>E45-C45</f>
        <v>321.31999999999994</v>
      </c>
      <c r="E45" s="580">
        <v>455.9</v>
      </c>
      <c r="G45" s="194" t="s">
        <v>332</v>
      </c>
      <c r="K45" s="274"/>
      <c r="L45" s="259"/>
    </row>
    <row r="46" spans="1:13" x14ac:dyDescent="0.3">
      <c r="A46" s="220" t="s">
        <v>27</v>
      </c>
      <c r="B46" s="220" t="s">
        <v>29</v>
      </c>
      <c r="C46" s="238">
        <f t="shared" ref="C46:C51" si="0">ROUND(E46*C588/E588,3)</f>
        <v>34.508000000000003</v>
      </c>
      <c r="D46" s="239">
        <f t="shared" ref="D46:D51" si="1">E46-C46</f>
        <v>43.591999999999977</v>
      </c>
      <c r="E46" s="580">
        <v>78.09999999999998</v>
      </c>
      <c r="G46" s="589" t="s">
        <v>333</v>
      </c>
      <c r="K46" s="274"/>
    </row>
    <row r="47" spans="1:13" x14ac:dyDescent="0.3">
      <c r="A47" s="220" t="s">
        <v>27</v>
      </c>
      <c r="B47" s="220" t="s">
        <v>30</v>
      </c>
      <c r="C47" s="238">
        <f t="shared" si="0"/>
        <v>31.693999999999999</v>
      </c>
      <c r="D47" s="239">
        <f t="shared" si="1"/>
        <v>84.905999999999992</v>
      </c>
      <c r="E47" s="580">
        <v>116.6</v>
      </c>
      <c r="F47" s="259"/>
      <c r="K47" s="274"/>
    </row>
    <row r="48" spans="1:13" x14ac:dyDescent="0.3">
      <c r="A48" s="220" t="s">
        <v>27</v>
      </c>
      <c r="B48" s="220" t="s">
        <v>31</v>
      </c>
      <c r="C48" s="238">
        <f t="shared" si="0"/>
        <v>31.814</v>
      </c>
      <c r="D48" s="239">
        <f t="shared" si="1"/>
        <v>38.985999999999997</v>
      </c>
      <c r="E48" s="580">
        <v>70.8</v>
      </c>
      <c r="F48" s="259"/>
      <c r="K48" s="274"/>
    </row>
    <row r="49" spans="1:13" x14ac:dyDescent="0.3">
      <c r="A49" s="220" t="s">
        <v>27</v>
      </c>
      <c r="B49" s="220" t="s">
        <v>32</v>
      </c>
      <c r="C49" s="238">
        <f t="shared" si="0"/>
        <v>73.897000000000006</v>
      </c>
      <c r="D49" s="239">
        <f>E49-C49</f>
        <v>141.40300000000002</v>
      </c>
      <c r="E49" s="580">
        <v>215.3</v>
      </c>
      <c r="F49" s="259"/>
      <c r="K49" s="274"/>
    </row>
    <row r="50" spans="1:13" x14ac:dyDescent="0.3">
      <c r="A50" s="220" t="s">
        <v>27</v>
      </c>
      <c r="B50" s="220" t="s">
        <v>33</v>
      </c>
      <c r="C50" s="238">
        <f t="shared" si="0"/>
        <v>45.194000000000003</v>
      </c>
      <c r="D50" s="239">
        <f t="shared" si="1"/>
        <v>24.105999999999995</v>
      </c>
      <c r="E50" s="580">
        <v>69.3</v>
      </c>
      <c r="F50" s="259"/>
      <c r="K50" s="274"/>
    </row>
    <row r="51" spans="1:13" ht="16.2" thickBot="1" x14ac:dyDescent="0.35">
      <c r="A51" s="226" t="s">
        <v>27</v>
      </c>
      <c r="B51" s="226" t="s">
        <v>34</v>
      </c>
      <c r="C51" s="240">
        <f t="shared" si="0"/>
        <v>11.696</v>
      </c>
      <c r="D51" s="241">
        <f t="shared" si="1"/>
        <v>21.304000000000009</v>
      </c>
      <c r="E51" s="581">
        <v>33.000000000000007</v>
      </c>
      <c r="F51" s="259"/>
      <c r="K51" s="274"/>
    </row>
    <row r="52" spans="1:13" x14ac:dyDescent="0.3">
      <c r="A52" s="5" t="s">
        <v>35</v>
      </c>
      <c r="F52" s="259"/>
      <c r="G52" s="219"/>
    </row>
    <row r="53" spans="1:13" ht="16.2" thickBot="1" x14ac:dyDescent="0.35">
      <c r="A53" s="147" t="s">
        <v>208</v>
      </c>
      <c r="G53" s="219"/>
    </row>
    <row r="54" spans="1:13" ht="16.2" thickBot="1" x14ac:dyDescent="0.35">
      <c r="A54" s="232"/>
      <c r="B54" s="233"/>
      <c r="C54" s="242" t="s">
        <v>25</v>
      </c>
      <c r="D54" s="234" t="s">
        <v>26</v>
      </c>
      <c r="E54" s="151" t="s">
        <v>185</v>
      </c>
    </row>
    <row r="55" spans="1:13" x14ac:dyDescent="0.3">
      <c r="A55" s="243" t="s">
        <v>27</v>
      </c>
      <c r="B55" s="213" t="s">
        <v>28</v>
      </c>
      <c r="C55" s="244">
        <f>E55</f>
        <v>3.9209999999999998</v>
      </c>
      <c r="D55" s="245">
        <f>E55</f>
        <v>3.9209999999999998</v>
      </c>
      <c r="E55" s="588">
        <v>3.9209999999999998</v>
      </c>
      <c r="G55" s="237"/>
      <c r="H55" s="274"/>
      <c r="I55" s="274"/>
      <c r="J55" s="259"/>
      <c r="K55" s="259"/>
      <c r="L55" s="259"/>
      <c r="M55" s="259"/>
    </row>
    <row r="56" spans="1:13" x14ac:dyDescent="0.3">
      <c r="A56" s="246" t="s">
        <v>27</v>
      </c>
      <c r="B56" s="220" t="s">
        <v>29</v>
      </c>
      <c r="C56" s="247">
        <f t="shared" ref="C56:C61" si="2">E56</f>
        <v>4.9340000000000002</v>
      </c>
      <c r="D56" s="248">
        <f t="shared" ref="D56:D61" si="3">E56</f>
        <v>4.9340000000000002</v>
      </c>
      <c r="E56" s="586">
        <v>4.9340000000000002</v>
      </c>
      <c r="G56" s="237"/>
      <c r="H56" s="274"/>
      <c r="I56" s="274"/>
      <c r="K56" s="259"/>
      <c r="L56" s="259"/>
      <c r="M56" s="259"/>
    </row>
    <row r="57" spans="1:13" x14ac:dyDescent="0.3">
      <c r="A57" s="246" t="s">
        <v>27</v>
      </c>
      <c r="B57" s="220" t="s">
        <v>30</v>
      </c>
      <c r="C57" s="247">
        <f t="shared" si="2"/>
        <v>4.2329999999999997</v>
      </c>
      <c r="D57" s="248">
        <f t="shared" si="3"/>
        <v>4.2329999999999997</v>
      </c>
      <c r="E57" s="586">
        <v>4.2329999999999997</v>
      </c>
      <c r="G57" s="237"/>
      <c r="H57" s="274"/>
      <c r="I57" s="274"/>
      <c r="K57" s="259"/>
      <c r="L57" s="259"/>
      <c r="M57" s="259"/>
    </row>
    <row r="58" spans="1:13" x14ac:dyDescent="0.3">
      <c r="A58" s="246" t="s">
        <v>27</v>
      </c>
      <c r="B58" s="220" t="s">
        <v>31</v>
      </c>
      <c r="C58" s="247">
        <f t="shared" si="2"/>
        <v>5.069</v>
      </c>
      <c r="D58" s="248">
        <f t="shared" si="3"/>
        <v>5.069</v>
      </c>
      <c r="E58" s="586">
        <v>5.069</v>
      </c>
      <c r="G58" s="237"/>
      <c r="H58" s="274"/>
      <c r="I58" s="274"/>
      <c r="K58" s="259"/>
      <c r="L58" s="259"/>
      <c r="M58" s="259"/>
    </row>
    <row r="59" spans="1:13" x14ac:dyDescent="0.3">
      <c r="A59" s="246" t="s">
        <v>27</v>
      </c>
      <c r="B59" s="220" t="s">
        <v>32</v>
      </c>
      <c r="C59" s="247">
        <f t="shared" si="2"/>
        <v>5.6459999999999999</v>
      </c>
      <c r="D59" s="248">
        <f t="shared" si="3"/>
        <v>5.6459999999999999</v>
      </c>
      <c r="E59" s="586">
        <v>5.6459999999999999</v>
      </c>
      <c r="G59" s="237"/>
      <c r="H59" s="274"/>
      <c r="I59" s="274"/>
      <c r="K59" s="259"/>
      <c r="L59" s="259"/>
      <c r="M59" s="259"/>
    </row>
    <row r="60" spans="1:13" x14ac:dyDescent="0.3">
      <c r="A60" s="246" t="s">
        <v>27</v>
      </c>
      <c r="B60" s="220" t="s">
        <v>33</v>
      </c>
      <c r="C60" s="247">
        <f t="shared" si="2"/>
        <v>6.4669999999999996</v>
      </c>
      <c r="D60" s="248">
        <f t="shared" si="3"/>
        <v>6.4669999999999996</v>
      </c>
      <c r="E60" s="586">
        <v>6.4669999999999996</v>
      </c>
      <c r="G60" s="237"/>
      <c r="H60" s="274"/>
      <c r="I60" s="274"/>
      <c r="K60" s="259"/>
      <c r="L60" s="259"/>
      <c r="M60" s="259"/>
    </row>
    <row r="61" spans="1:13" ht="16.2" thickBot="1" x14ac:dyDescent="0.35">
      <c r="A61" s="249" t="s">
        <v>27</v>
      </c>
      <c r="B61" s="226" t="s">
        <v>34</v>
      </c>
      <c r="C61" s="250">
        <f t="shared" si="2"/>
        <v>5.7089999999999996</v>
      </c>
      <c r="D61" s="251">
        <f t="shared" si="3"/>
        <v>5.7089999999999996</v>
      </c>
      <c r="E61" s="587">
        <v>5.7089999999999996</v>
      </c>
      <c r="G61" s="237"/>
      <c r="H61" s="582"/>
      <c r="I61" s="274"/>
      <c r="K61" s="259"/>
      <c r="L61" s="259"/>
      <c r="M61" s="259"/>
    </row>
    <row r="62" spans="1:13" x14ac:dyDescent="0.3">
      <c r="A62" s="5" t="s">
        <v>35</v>
      </c>
      <c r="G62" s="219"/>
    </row>
    <row r="63" spans="1:13" ht="16.2" thickBot="1" x14ac:dyDescent="0.35">
      <c r="A63" s="147" t="s">
        <v>209</v>
      </c>
      <c r="G63" s="219"/>
    </row>
    <row r="64" spans="1:13" ht="16.2" thickBot="1" x14ac:dyDescent="0.35">
      <c r="A64" s="232"/>
      <c r="B64" s="233"/>
      <c r="C64" s="252" t="s">
        <v>25</v>
      </c>
      <c r="D64" s="242" t="s">
        <v>26</v>
      </c>
      <c r="E64" s="579" t="s">
        <v>185</v>
      </c>
      <c r="F64" s="259"/>
      <c r="G64" s="162" t="s">
        <v>197</v>
      </c>
      <c r="H64" s="259"/>
    </row>
    <row r="65" spans="1:10" x14ac:dyDescent="0.3">
      <c r="A65" s="243" t="s">
        <v>27</v>
      </c>
      <c r="B65" s="216" t="s">
        <v>28</v>
      </c>
      <c r="C65" s="253">
        <f>ROUND(C45*C55,3)</f>
        <v>527.68799999999999</v>
      </c>
      <c r="D65" s="395">
        <f>ROUND(D45*D55,3)</f>
        <v>1259.896</v>
      </c>
      <c r="E65" s="583">
        <v>1787.5839999999998</v>
      </c>
      <c r="F65" s="288">
        <f>SUM(E65:E71)</f>
        <v>4877.5259999999998</v>
      </c>
      <c r="G65" s="259"/>
      <c r="H65" s="287"/>
      <c r="I65" s="259"/>
      <c r="J65" s="259"/>
    </row>
    <row r="66" spans="1:10" x14ac:dyDescent="0.3">
      <c r="A66" s="246" t="s">
        <v>27</v>
      </c>
      <c r="B66" s="223" t="s">
        <v>29</v>
      </c>
      <c r="C66" s="255">
        <f t="shared" ref="C66:D66" si="4">ROUND(C46*C56,3)</f>
        <v>170.262</v>
      </c>
      <c r="D66" s="392">
        <f t="shared" si="4"/>
        <v>215.083</v>
      </c>
      <c r="E66" s="584">
        <v>385.34500000000003</v>
      </c>
      <c r="F66" s="259"/>
      <c r="G66" s="259"/>
      <c r="H66" s="287"/>
      <c r="I66" s="259"/>
      <c r="J66" s="259"/>
    </row>
    <row r="67" spans="1:10" x14ac:dyDescent="0.3">
      <c r="A67" s="246" t="s">
        <v>27</v>
      </c>
      <c r="B67" s="223" t="s">
        <v>30</v>
      </c>
      <c r="C67" s="255">
        <f t="shared" ref="C67:D67" si="5">ROUND(C47*C57,3)</f>
        <v>134.161</v>
      </c>
      <c r="D67" s="392">
        <f t="shared" si="5"/>
        <v>359.40699999999998</v>
      </c>
      <c r="E67" s="584">
        <v>493.56799999999998</v>
      </c>
      <c r="F67" s="259"/>
      <c r="G67" s="259"/>
      <c r="H67" s="287"/>
      <c r="I67" s="259"/>
      <c r="J67" s="259"/>
    </row>
    <row r="68" spans="1:10" x14ac:dyDescent="0.3">
      <c r="A68" s="246" t="s">
        <v>27</v>
      </c>
      <c r="B68" s="223" t="s">
        <v>31</v>
      </c>
      <c r="C68" s="255">
        <f>ROUND(C48*C58,3)</f>
        <v>161.26499999999999</v>
      </c>
      <c r="D68" s="392">
        <f t="shared" ref="D68" si="6">ROUND(D48*D58,3)</f>
        <v>197.62</v>
      </c>
      <c r="E68" s="584">
        <v>358.88499999999999</v>
      </c>
      <c r="F68" s="259"/>
      <c r="G68" s="259"/>
      <c r="H68" s="287"/>
      <c r="I68" s="259"/>
      <c r="J68" s="259"/>
    </row>
    <row r="69" spans="1:10" x14ac:dyDescent="0.3">
      <c r="A69" s="246" t="s">
        <v>27</v>
      </c>
      <c r="B69" s="223" t="s">
        <v>32</v>
      </c>
      <c r="C69" s="255">
        <f t="shared" ref="C69:D69" si="7">ROUND(C49*C59,3)</f>
        <v>417.22199999999998</v>
      </c>
      <c r="D69" s="392">
        <f t="shared" si="7"/>
        <v>798.36099999999999</v>
      </c>
      <c r="E69" s="584">
        <v>1215.5830000000001</v>
      </c>
      <c r="F69" s="259"/>
      <c r="G69" s="259"/>
      <c r="H69" s="287"/>
      <c r="I69" s="259"/>
      <c r="J69" s="259"/>
    </row>
    <row r="70" spans="1:10" x14ac:dyDescent="0.3">
      <c r="A70" s="246" t="s">
        <v>27</v>
      </c>
      <c r="B70" s="223" t="s">
        <v>33</v>
      </c>
      <c r="C70" s="255">
        <f t="shared" ref="C70:D70" si="8">ROUND(C50*C60,3)</f>
        <v>292.27</v>
      </c>
      <c r="D70" s="392">
        <f t="shared" si="8"/>
        <v>155.89400000000001</v>
      </c>
      <c r="E70" s="584">
        <v>448.16399999999999</v>
      </c>
      <c r="F70" s="259"/>
      <c r="G70" s="259"/>
      <c r="H70" s="287"/>
      <c r="I70" s="259"/>
      <c r="J70" s="259"/>
    </row>
    <row r="71" spans="1:10" ht="16.2" thickBot="1" x14ac:dyDescent="0.35">
      <c r="A71" s="249" t="s">
        <v>27</v>
      </c>
      <c r="B71" s="229" t="s">
        <v>34</v>
      </c>
      <c r="C71" s="255">
        <f t="shared" ref="C71:D71" si="9">ROUND(C51*C61,3)</f>
        <v>66.772000000000006</v>
      </c>
      <c r="D71" s="392">
        <f t="shared" si="9"/>
        <v>121.625</v>
      </c>
      <c r="E71" s="585">
        <v>188.39699999999999</v>
      </c>
      <c r="F71" s="259"/>
      <c r="G71" s="259"/>
      <c r="H71" s="287"/>
      <c r="I71" s="259"/>
      <c r="J71" s="259"/>
    </row>
    <row r="72" spans="1:10" x14ac:dyDescent="0.3">
      <c r="A72" s="243" t="s">
        <v>36</v>
      </c>
      <c r="B72" s="216" t="s">
        <v>28</v>
      </c>
      <c r="C72" s="235">
        <f>ROUND(E72*C551/E551,3)</f>
        <v>21.902000000000001</v>
      </c>
      <c r="D72" s="236">
        <f t="shared" ref="D72:D92" si="10">E72-C72</f>
        <v>416.15600000000001</v>
      </c>
      <c r="E72" s="183">
        <v>438.05799999999999</v>
      </c>
      <c r="F72" s="257"/>
    </row>
    <row r="73" spans="1:10" x14ac:dyDescent="0.3">
      <c r="A73" s="246" t="s">
        <v>36</v>
      </c>
      <c r="B73" s="223" t="s">
        <v>29</v>
      </c>
      <c r="C73" s="238">
        <f t="shared" ref="C73:C92" si="11">ROUND(E73*C552/E552,3)</f>
        <v>9.4809999999999999</v>
      </c>
      <c r="D73" s="239">
        <f t="shared" si="10"/>
        <v>180.24</v>
      </c>
      <c r="E73" s="183">
        <v>189.721</v>
      </c>
      <c r="F73" s="257"/>
    </row>
    <row r="74" spans="1:10" x14ac:dyDescent="0.3">
      <c r="A74" s="246" t="s">
        <v>36</v>
      </c>
      <c r="B74" s="223" t="s">
        <v>30</v>
      </c>
      <c r="C74" s="238">
        <f t="shared" si="11"/>
        <v>9.6579999999999995</v>
      </c>
      <c r="D74" s="239">
        <f t="shared" si="10"/>
        <v>183.52</v>
      </c>
      <c r="E74" s="183">
        <v>193.178</v>
      </c>
      <c r="F74" s="257"/>
    </row>
    <row r="75" spans="1:10" x14ac:dyDescent="0.3">
      <c r="A75" s="246" t="s">
        <v>36</v>
      </c>
      <c r="B75" s="223" t="s">
        <v>31</v>
      </c>
      <c r="C75" s="238">
        <f t="shared" si="11"/>
        <v>5.7850000000000001</v>
      </c>
      <c r="D75" s="239">
        <f t="shared" si="10"/>
        <v>109.89600000000002</v>
      </c>
      <c r="E75" s="183">
        <v>115.68100000000001</v>
      </c>
      <c r="F75" s="257"/>
    </row>
    <row r="76" spans="1:10" x14ac:dyDescent="0.3">
      <c r="A76" s="246" t="s">
        <v>36</v>
      </c>
      <c r="B76" s="223" t="s">
        <v>32</v>
      </c>
      <c r="C76" s="238">
        <f t="shared" si="11"/>
        <v>4.4219999999999997</v>
      </c>
      <c r="D76" s="239">
        <f t="shared" si="10"/>
        <v>84.044000000000011</v>
      </c>
      <c r="E76" s="183">
        <v>88.466000000000008</v>
      </c>
      <c r="F76" s="257"/>
    </row>
    <row r="77" spans="1:10" x14ac:dyDescent="0.3">
      <c r="A77" s="246" t="s">
        <v>36</v>
      </c>
      <c r="B77" s="223" t="s">
        <v>33</v>
      </c>
      <c r="C77" s="238">
        <f t="shared" si="11"/>
        <v>5.2839999999999998</v>
      </c>
      <c r="D77" s="239">
        <f t="shared" si="10"/>
        <v>100.16500000000001</v>
      </c>
      <c r="E77" s="183">
        <v>105.44900000000001</v>
      </c>
      <c r="F77" s="257"/>
    </row>
    <row r="78" spans="1:10" ht="16.2" thickBot="1" x14ac:dyDescent="0.35">
      <c r="A78" s="249" t="s">
        <v>36</v>
      </c>
      <c r="B78" s="229" t="s">
        <v>34</v>
      </c>
      <c r="C78" s="238">
        <f t="shared" si="11"/>
        <v>18.012</v>
      </c>
      <c r="D78" s="239">
        <f t="shared" si="10"/>
        <v>342.21500000000003</v>
      </c>
      <c r="E78" s="184">
        <v>360.22700000000003</v>
      </c>
      <c r="F78" s="257"/>
    </row>
    <row r="79" spans="1:10" x14ac:dyDescent="0.3">
      <c r="A79" s="243" t="s">
        <v>37</v>
      </c>
      <c r="B79" s="258" t="s">
        <v>28</v>
      </c>
      <c r="C79" s="235">
        <f t="shared" si="11"/>
        <v>104.44799999999999</v>
      </c>
      <c r="D79" s="236">
        <f t="shared" si="10"/>
        <v>55.658000000000001</v>
      </c>
      <c r="E79" s="182">
        <v>160.10599999999999</v>
      </c>
      <c r="F79" s="257"/>
      <c r="G79" s="257"/>
      <c r="I79" s="259"/>
    </row>
    <row r="80" spans="1:10" x14ac:dyDescent="0.3">
      <c r="A80" s="246" t="s">
        <v>37</v>
      </c>
      <c r="B80" s="260" t="s">
        <v>29</v>
      </c>
      <c r="C80" s="238">
        <f t="shared" si="11"/>
        <v>376.334</v>
      </c>
      <c r="D80" s="239">
        <f t="shared" si="10"/>
        <v>454.38000000000005</v>
      </c>
      <c r="E80" s="183">
        <v>830.71400000000006</v>
      </c>
      <c r="F80" s="257"/>
      <c r="G80" s="257"/>
      <c r="H80" s="257"/>
      <c r="I80" s="259"/>
    </row>
    <row r="81" spans="1:9" x14ac:dyDescent="0.3">
      <c r="A81" s="246" t="s">
        <v>37</v>
      </c>
      <c r="B81" s="260" t="s">
        <v>30</v>
      </c>
      <c r="C81" s="238">
        <f t="shared" si="11"/>
        <v>63.488</v>
      </c>
      <c r="D81" s="239">
        <f t="shared" si="10"/>
        <v>102.91</v>
      </c>
      <c r="E81" s="183">
        <v>166.398</v>
      </c>
      <c r="F81" s="257"/>
      <c r="G81" s="257"/>
      <c r="H81" s="257"/>
      <c r="I81" s="259"/>
    </row>
    <row r="82" spans="1:9" x14ac:dyDescent="0.3">
      <c r="A82" s="246" t="s">
        <v>37</v>
      </c>
      <c r="B82" s="260" t="s">
        <v>31</v>
      </c>
      <c r="C82" s="238">
        <f t="shared" si="11"/>
        <v>76.337000000000003</v>
      </c>
      <c r="D82" s="239">
        <f t="shared" si="10"/>
        <v>40.597999999999999</v>
      </c>
      <c r="E82" s="183">
        <v>116.935</v>
      </c>
      <c r="F82" s="257"/>
      <c r="G82" s="257"/>
      <c r="H82" s="257"/>
      <c r="I82" s="259"/>
    </row>
    <row r="83" spans="1:9" x14ac:dyDescent="0.3">
      <c r="A83" s="246" t="s">
        <v>37</v>
      </c>
      <c r="B83" s="260" t="s">
        <v>32</v>
      </c>
      <c r="C83" s="238">
        <f t="shared" si="11"/>
        <v>59.445999999999998</v>
      </c>
      <c r="D83" s="239">
        <f t="shared" si="10"/>
        <v>92.057999999999993</v>
      </c>
      <c r="E83" s="183">
        <v>151.50399999999999</v>
      </c>
      <c r="F83" s="257"/>
      <c r="G83" s="257"/>
      <c r="H83" s="257"/>
      <c r="I83" s="257"/>
    </row>
    <row r="84" spans="1:9" x14ac:dyDescent="0.3">
      <c r="A84" s="246" t="s">
        <v>37</v>
      </c>
      <c r="B84" s="260" t="s">
        <v>33</v>
      </c>
      <c r="C84" s="238">
        <f t="shared" si="11"/>
        <v>352.90300000000002</v>
      </c>
      <c r="D84" s="239">
        <f t="shared" si="10"/>
        <v>155.67699999999996</v>
      </c>
      <c r="E84" s="183">
        <v>508.58</v>
      </c>
      <c r="F84" s="257"/>
      <c r="G84" s="257"/>
      <c r="H84" s="257"/>
      <c r="I84" s="257"/>
    </row>
    <row r="85" spans="1:9" ht="16.2" thickBot="1" x14ac:dyDescent="0.35">
      <c r="A85" s="249" t="s">
        <v>37</v>
      </c>
      <c r="B85" s="261" t="s">
        <v>34</v>
      </c>
      <c r="C85" s="238">
        <f t="shared" si="11"/>
        <v>126.96</v>
      </c>
      <c r="D85" s="239">
        <f t="shared" si="10"/>
        <v>69.114000000000019</v>
      </c>
      <c r="E85" s="184">
        <v>196.07400000000001</v>
      </c>
      <c r="F85" s="257"/>
      <c r="G85" s="257"/>
      <c r="H85" s="257"/>
      <c r="I85" s="257"/>
    </row>
    <row r="86" spans="1:9" x14ac:dyDescent="0.3">
      <c r="A86" s="243" t="s">
        <v>38</v>
      </c>
      <c r="B86" s="258" t="s">
        <v>28</v>
      </c>
      <c r="C86" s="235">
        <f t="shared" si="11"/>
        <v>17.106000000000002</v>
      </c>
      <c r="D86" s="236">
        <f t="shared" si="10"/>
        <v>0.34199999999999875</v>
      </c>
      <c r="E86" s="183">
        <v>17.448</v>
      </c>
      <c r="F86" s="257"/>
      <c r="G86" s="257"/>
      <c r="H86" s="257"/>
      <c r="I86" s="257"/>
    </row>
    <row r="87" spans="1:9" x14ac:dyDescent="0.3">
      <c r="A87" s="246" t="s">
        <v>38</v>
      </c>
      <c r="B87" s="260" t="s">
        <v>29</v>
      </c>
      <c r="C87" s="238">
        <f t="shared" si="11"/>
        <v>65.983999999999995</v>
      </c>
      <c r="D87" s="239">
        <f t="shared" si="10"/>
        <v>1.3500000000000085</v>
      </c>
      <c r="E87" s="183">
        <v>67.334000000000003</v>
      </c>
      <c r="F87" s="257"/>
      <c r="G87" s="257"/>
      <c r="H87" s="257"/>
      <c r="I87" s="257"/>
    </row>
    <row r="88" spans="1:9" x14ac:dyDescent="0.3">
      <c r="A88" s="246" t="s">
        <v>38</v>
      </c>
      <c r="B88" s="260" t="s">
        <v>30</v>
      </c>
      <c r="C88" s="238">
        <f t="shared" si="11"/>
        <v>12.548999999999999</v>
      </c>
      <c r="D88" s="239">
        <f t="shared" si="10"/>
        <v>0.2580000000000009</v>
      </c>
      <c r="E88" s="183">
        <v>12.807</v>
      </c>
      <c r="F88" s="257"/>
      <c r="G88" s="257"/>
      <c r="H88" s="257"/>
      <c r="I88" s="257"/>
    </row>
    <row r="89" spans="1:9" x14ac:dyDescent="0.3">
      <c r="A89" s="246" t="s">
        <v>38</v>
      </c>
      <c r="B89" s="260" t="s">
        <v>31</v>
      </c>
      <c r="C89" s="238">
        <f t="shared" si="11"/>
        <v>10.096</v>
      </c>
      <c r="D89" s="239">
        <f t="shared" si="10"/>
        <v>0.20599999999999952</v>
      </c>
      <c r="E89" s="183">
        <v>10.302</v>
      </c>
      <c r="F89" s="257"/>
      <c r="G89" s="257"/>
      <c r="H89" s="257"/>
      <c r="I89" s="257"/>
    </row>
    <row r="90" spans="1:9" x14ac:dyDescent="0.3">
      <c r="A90" s="246" t="s">
        <v>38</v>
      </c>
      <c r="B90" s="260" t="s">
        <v>32</v>
      </c>
      <c r="C90" s="238">
        <f t="shared" si="11"/>
        <v>13.763999999999999</v>
      </c>
      <c r="D90" s="239">
        <f t="shared" si="10"/>
        <v>0.2759999999999998</v>
      </c>
      <c r="E90" s="183">
        <v>14.04</v>
      </c>
      <c r="F90" s="257"/>
      <c r="G90" s="257"/>
      <c r="H90" s="257"/>
      <c r="I90" s="257"/>
    </row>
    <row r="91" spans="1:9" x14ac:dyDescent="0.3">
      <c r="A91" s="246" t="s">
        <v>38</v>
      </c>
      <c r="B91" s="260" t="s">
        <v>33</v>
      </c>
      <c r="C91" s="238">
        <f t="shared" si="11"/>
        <v>53.438000000000002</v>
      </c>
      <c r="D91" s="239">
        <f t="shared" si="10"/>
        <v>1.0959999999999965</v>
      </c>
      <c r="E91" s="183">
        <v>54.533999999999999</v>
      </c>
      <c r="F91" s="257"/>
      <c r="G91" s="257"/>
      <c r="H91" s="257"/>
      <c r="I91" s="257"/>
    </row>
    <row r="92" spans="1:9" ht="16.2" thickBot="1" x14ac:dyDescent="0.35">
      <c r="A92" s="249" t="s">
        <v>38</v>
      </c>
      <c r="B92" s="261" t="s">
        <v>34</v>
      </c>
      <c r="C92" s="240">
        <f t="shared" si="11"/>
        <v>18.468</v>
      </c>
      <c r="D92" s="241">
        <f t="shared" si="10"/>
        <v>0.37600000000000122</v>
      </c>
      <c r="E92" s="184">
        <v>18.844000000000001</v>
      </c>
      <c r="F92" s="257"/>
      <c r="G92" s="257"/>
      <c r="H92" s="257"/>
      <c r="I92" s="257"/>
    </row>
    <row r="93" spans="1:9" x14ac:dyDescent="0.3">
      <c r="A93" s="5" t="s">
        <v>35</v>
      </c>
      <c r="G93" s="257"/>
      <c r="H93" s="257"/>
      <c r="I93" s="257"/>
    </row>
    <row r="94" spans="1:9" ht="16.2" thickBot="1" x14ac:dyDescent="0.35">
      <c r="A94" s="147" t="s">
        <v>211</v>
      </c>
      <c r="G94" s="257"/>
      <c r="H94" s="257"/>
      <c r="I94" s="257"/>
    </row>
    <row r="95" spans="1:9" ht="16.2" thickBot="1" x14ac:dyDescent="0.35">
      <c r="A95" s="232"/>
      <c r="B95" s="233"/>
      <c r="C95" s="252" t="s">
        <v>25</v>
      </c>
      <c r="D95" s="242" t="s">
        <v>26</v>
      </c>
    </row>
    <row r="96" spans="1:9" x14ac:dyDescent="0.3">
      <c r="A96" s="243" t="s">
        <v>27</v>
      </c>
      <c r="B96" s="213" t="s">
        <v>28</v>
      </c>
      <c r="C96" s="262">
        <f>C65</f>
        <v>527.68799999999999</v>
      </c>
      <c r="D96" s="263">
        <f t="shared" ref="D96:D102" si="12">D65</f>
        <v>1259.896</v>
      </c>
      <c r="G96" s="219"/>
    </row>
    <row r="97" spans="1:7" x14ac:dyDescent="0.3">
      <c r="A97" s="246" t="s">
        <v>27</v>
      </c>
      <c r="B97" s="220" t="s">
        <v>29</v>
      </c>
      <c r="C97" s="264">
        <f t="shared" ref="C97" si="13">C66</f>
        <v>170.262</v>
      </c>
      <c r="D97" s="265">
        <f t="shared" si="12"/>
        <v>215.083</v>
      </c>
      <c r="G97" s="219"/>
    </row>
    <row r="98" spans="1:7" x14ac:dyDescent="0.3">
      <c r="A98" s="246" t="s">
        <v>27</v>
      </c>
      <c r="B98" s="220" t="s">
        <v>30</v>
      </c>
      <c r="C98" s="264">
        <f t="shared" ref="C98" si="14">C67</f>
        <v>134.161</v>
      </c>
      <c r="D98" s="265">
        <f t="shared" si="12"/>
        <v>359.40699999999998</v>
      </c>
      <c r="G98" s="219"/>
    </row>
    <row r="99" spans="1:7" x14ac:dyDescent="0.3">
      <c r="A99" s="246" t="s">
        <v>27</v>
      </c>
      <c r="B99" s="220" t="s">
        <v>31</v>
      </c>
      <c r="C99" s="264">
        <f t="shared" ref="C99" si="15">C68</f>
        <v>161.26499999999999</v>
      </c>
      <c r="D99" s="265">
        <f t="shared" si="12"/>
        <v>197.62</v>
      </c>
      <c r="G99" s="219"/>
    </row>
    <row r="100" spans="1:7" x14ac:dyDescent="0.3">
      <c r="A100" s="246" t="s">
        <v>27</v>
      </c>
      <c r="B100" s="220" t="s">
        <v>32</v>
      </c>
      <c r="C100" s="264">
        <f t="shared" ref="C100" si="16">C69</f>
        <v>417.22199999999998</v>
      </c>
      <c r="D100" s="265">
        <f t="shared" si="12"/>
        <v>798.36099999999999</v>
      </c>
      <c r="G100" s="219"/>
    </row>
    <row r="101" spans="1:7" x14ac:dyDescent="0.3">
      <c r="A101" s="246" t="s">
        <v>27</v>
      </c>
      <c r="B101" s="220" t="s">
        <v>33</v>
      </c>
      <c r="C101" s="264">
        <f t="shared" ref="C101" si="17">C70</f>
        <v>292.27</v>
      </c>
      <c r="D101" s="265">
        <f t="shared" si="12"/>
        <v>155.89400000000001</v>
      </c>
      <c r="G101" s="219"/>
    </row>
    <row r="102" spans="1:7" ht="16.2" thickBot="1" x14ac:dyDescent="0.35">
      <c r="A102" s="249" t="s">
        <v>27</v>
      </c>
      <c r="B102" s="226" t="s">
        <v>34</v>
      </c>
      <c r="C102" s="266">
        <f t="shared" ref="C102" si="18">C71</f>
        <v>66.772000000000006</v>
      </c>
      <c r="D102" s="267">
        <f t="shared" si="12"/>
        <v>121.625</v>
      </c>
      <c r="G102" s="219"/>
    </row>
    <row r="103" spans="1:7" x14ac:dyDescent="0.3">
      <c r="A103" s="5" t="s">
        <v>35</v>
      </c>
      <c r="G103" s="219"/>
    </row>
    <row r="104" spans="1:7" ht="16.2" thickBot="1" x14ac:dyDescent="0.35">
      <c r="A104" s="147" t="s">
        <v>212</v>
      </c>
      <c r="G104" s="219"/>
    </row>
    <row r="105" spans="1:7" ht="16.2" thickBot="1" x14ac:dyDescent="0.35">
      <c r="A105" s="232"/>
      <c r="B105" s="233"/>
      <c r="C105" s="252" t="s">
        <v>25</v>
      </c>
      <c r="D105" s="242" t="s">
        <v>26</v>
      </c>
    </row>
    <row r="106" spans="1:7" x14ac:dyDescent="0.3">
      <c r="A106" s="243" t="s">
        <v>36</v>
      </c>
      <c r="B106" s="216" t="s">
        <v>28</v>
      </c>
      <c r="C106" s="253">
        <f>C72</f>
        <v>21.902000000000001</v>
      </c>
      <c r="D106" s="254">
        <f>D72</f>
        <v>416.15600000000001</v>
      </c>
      <c r="E106" s="259">
        <f>SUM(C106:D126)</f>
        <v>3816.4000000000005</v>
      </c>
      <c r="G106" s="219"/>
    </row>
    <row r="107" spans="1:7" x14ac:dyDescent="0.3">
      <c r="A107" s="246" t="s">
        <v>36</v>
      </c>
      <c r="B107" s="223" t="s">
        <v>29</v>
      </c>
      <c r="C107" s="255">
        <f t="shared" ref="C107:D107" si="19">C73</f>
        <v>9.4809999999999999</v>
      </c>
      <c r="D107" s="256">
        <f t="shared" si="19"/>
        <v>180.24</v>
      </c>
      <c r="G107" s="219"/>
    </row>
    <row r="108" spans="1:7" x14ac:dyDescent="0.3">
      <c r="A108" s="246" t="s">
        <v>36</v>
      </c>
      <c r="B108" s="223" t="s">
        <v>30</v>
      </c>
      <c r="C108" s="255">
        <f t="shared" ref="C108:D108" si="20">C74</f>
        <v>9.6579999999999995</v>
      </c>
      <c r="D108" s="256">
        <f t="shared" si="20"/>
        <v>183.52</v>
      </c>
      <c r="G108" s="219"/>
    </row>
    <row r="109" spans="1:7" x14ac:dyDescent="0.3">
      <c r="A109" s="246" t="s">
        <v>36</v>
      </c>
      <c r="B109" s="223" t="s">
        <v>31</v>
      </c>
      <c r="C109" s="255">
        <f t="shared" ref="C109:D109" si="21">C75</f>
        <v>5.7850000000000001</v>
      </c>
      <c r="D109" s="256">
        <f t="shared" si="21"/>
        <v>109.89600000000002</v>
      </c>
      <c r="G109" s="219"/>
    </row>
    <row r="110" spans="1:7" x14ac:dyDescent="0.3">
      <c r="A110" s="246" t="s">
        <v>36</v>
      </c>
      <c r="B110" s="223" t="s">
        <v>32</v>
      </c>
      <c r="C110" s="255">
        <f t="shared" ref="C110:D110" si="22">C76</f>
        <v>4.4219999999999997</v>
      </c>
      <c r="D110" s="256">
        <f t="shared" si="22"/>
        <v>84.044000000000011</v>
      </c>
      <c r="G110" s="219"/>
    </row>
    <row r="111" spans="1:7" x14ac:dyDescent="0.3">
      <c r="A111" s="246" t="s">
        <v>36</v>
      </c>
      <c r="B111" s="223" t="s">
        <v>33</v>
      </c>
      <c r="C111" s="255">
        <f t="shared" ref="C111:D111" si="23">C77</f>
        <v>5.2839999999999998</v>
      </c>
      <c r="D111" s="256">
        <f t="shared" si="23"/>
        <v>100.16500000000001</v>
      </c>
      <c r="G111" s="219"/>
    </row>
    <row r="112" spans="1:7" ht="16.2" thickBot="1" x14ac:dyDescent="0.35">
      <c r="A112" s="249" t="s">
        <v>36</v>
      </c>
      <c r="B112" s="229" t="s">
        <v>34</v>
      </c>
      <c r="C112" s="268">
        <f t="shared" ref="C112:D112" si="24">C78</f>
        <v>18.012</v>
      </c>
      <c r="D112" s="269">
        <f t="shared" si="24"/>
        <v>342.21500000000003</v>
      </c>
      <c r="G112" s="219"/>
    </row>
    <row r="113" spans="1:7" x14ac:dyDescent="0.3">
      <c r="A113" s="243" t="s">
        <v>37</v>
      </c>
      <c r="B113" s="258" t="s">
        <v>28</v>
      </c>
      <c r="C113" s="253">
        <f>C79</f>
        <v>104.44799999999999</v>
      </c>
      <c r="D113" s="254">
        <f>D79</f>
        <v>55.658000000000001</v>
      </c>
      <c r="G113" s="219"/>
    </row>
    <row r="114" spans="1:7" x14ac:dyDescent="0.3">
      <c r="A114" s="246" t="s">
        <v>37</v>
      </c>
      <c r="B114" s="260" t="s">
        <v>29</v>
      </c>
      <c r="C114" s="255">
        <f t="shared" ref="C114:D114" si="25">C80</f>
        <v>376.334</v>
      </c>
      <c r="D114" s="256">
        <f t="shared" si="25"/>
        <v>454.38000000000005</v>
      </c>
      <c r="G114" s="219"/>
    </row>
    <row r="115" spans="1:7" x14ac:dyDescent="0.3">
      <c r="A115" s="246" t="s">
        <v>37</v>
      </c>
      <c r="B115" s="260" t="s">
        <v>30</v>
      </c>
      <c r="C115" s="255">
        <f t="shared" ref="C115:D115" si="26">C81</f>
        <v>63.488</v>
      </c>
      <c r="D115" s="256">
        <f t="shared" si="26"/>
        <v>102.91</v>
      </c>
      <c r="G115" s="219"/>
    </row>
    <row r="116" spans="1:7" x14ac:dyDescent="0.3">
      <c r="A116" s="246" t="s">
        <v>37</v>
      </c>
      <c r="B116" s="260" t="s">
        <v>31</v>
      </c>
      <c r="C116" s="255">
        <f t="shared" ref="C116:D116" si="27">C82</f>
        <v>76.337000000000003</v>
      </c>
      <c r="D116" s="256">
        <f t="shared" si="27"/>
        <v>40.597999999999999</v>
      </c>
      <c r="G116" s="219"/>
    </row>
    <row r="117" spans="1:7" x14ac:dyDescent="0.3">
      <c r="A117" s="246" t="s">
        <v>37</v>
      </c>
      <c r="B117" s="260" t="s">
        <v>32</v>
      </c>
      <c r="C117" s="255">
        <f t="shared" ref="C117:D117" si="28">C83</f>
        <v>59.445999999999998</v>
      </c>
      <c r="D117" s="256">
        <f t="shared" si="28"/>
        <v>92.057999999999993</v>
      </c>
      <c r="G117" s="219"/>
    </row>
    <row r="118" spans="1:7" x14ac:dyDescent="0.3">
      <c r="A118" s="246" t="s">
        <v>37</v>
      </c>
      <c r="B118" s="260" t="s">
        <v>33</v>
      </c>
      <c r="C118" s="255">
        <f t="shared" ref="C118:D118" si="29">C84</f>
        <v>352.90300000000002</v>
      </c>
      <c r="D118" s="256">
        <f t="shared" si="29"/>
        <v>155.67699999999996</v>
      </c>
      <c r="G118" s="219"/>
    </row>
    <row r="119" spans="1:7" ht="16.2" thickBot="1" x14ac:dyDescent="0.35">
      <c r="A119" s="249" t="s">
        <v>37</v>
      </c>
      <c r="B119" s="261" t="s">
        <v>34</v>
      </c>
      <c r="C119" s="268">
        <f t="shared" ref="C119:D119" si="30">C85</f>
        <v>126.96</v>
      </c>
      <c r="D119" s="269">
        <f t="shared" si="30"/>
        <v>69.114000000000019</v>
      </c>
      <c r="G119" s="219"/>
    </row>
    <row r="120" spans="1:7" x14ac:dyDescent="0.3">
      <c r="A120" s="243" t="s">
        <v>38</v>
      </c>
      <c r="B120" s="258" t="s">
        <v>28</v>
      </c>
      <c r="C120" s="253">
        <f>C86</f>
        <v>17.106000000000002</v>
      </c>
      <c r="D120" s="254">
        <f>D86</f>
        <v>0.34199999999999875</v>
      </c>
      <c r="G120" s="219"/>
    </row>
    <row r="121" spans="1:7" x14ac:dyDescent="0.3">
      <c r="A121" s="246" t="s">
        <v>38</v>
      </c>
      <c r="B121" s="260" t="s">
        <v>29</v>
      </c>
      <c r="C121" s="255">
        <f t="shared" ref="C121:D121" si="31">C87</f>
        <v>65.983999999999995</v>
      </c>
      <c r="D121" s="256">
        <f t="shared" si="31"/>
        <v>1.3500000000000085</v>
      </c>
      <c r="G121" s="219"/>
    </row>
    <row r="122" spans="1:7" x14ac:dyDescent="0.3">
      <c r="A122" s="246" t="s">
        <v>38</v>
      </c>
      <c r="B122" s="260" t="s">
        <v>30</v>
      </c>
      <c r="C122" s="255">
        <f t="shared" ref="C122:D122" si="32">C88</f>
        <v>12.548999999999999</v>
      </c>
      <c r="D122" s="256">
        <f t="shared" si="32"/>
        <v>0.2580000000000009</v>
      </c>
      <c r="G122" s="219"/>
    </row>
    <row r="123" spans="1:7" x14ac:dyDescent="0.3">
      <c r="A123" s="246" t="s">
        <v>38</v>
      </c>
      <c r="B123" s="260" t="s">
        <v>31</v>
      </c>
      <c r="C123" s="255">
        <f t="shared" ref="C123:D123" si="33">C89</f>
        <v>10.096</v>
      </c>
      <c r="D123" s="256">
        <f t="shared" si="33"/>
        <v>0.20599999999999952</v>
      </c>
      <c r="G123" s="219"/>
    </row>
    <row r="124" spans="1:7" x14ac:dyDescent="0.3">
      <c r="A124" s="246" t="s">
        <v>38</v>
      </c>
      <c r="B124" s="260" t="s">
        <v>32</v>
      </c>
      <c r="C124" s="255">
        <f t="shared" ref="C124:D124" si="34">C90</f>
        <v>13.763999999999999</v>
      </c>
      <c r="D124" s="256">
        <f t="shared" si="34"/>
        <v>0.2759999999999998</v>
      </c>
      <c r="G124" s="219"/>
    </row>
    <row r="125" spans="1:7" x14ac:dyDescent="0.3">
      <c r="A125" s="246" t="s">
        <v>38</v>
      </c>
      <c r="B125" s="260" t="s">
        <v>33</v>
      </c>
      <c r="C125" s="255">
        <f t="shared" ref="C125:D125" si="35">C91</f>
        <v>53.438000000000002</v>
      </c>
      <c r="D125" s="256">
        <f t="shared" si="35"/>
        <v>1.0959999999999965</v>
      </c>
      <c r="G125" s="219"/>
    </row>
    <row r="126" spans="1:7" ht="16.2" thickBot="1" x14ac:dyDescent="0.35">
      <c r="A126" s="249" t="s">
        <v>38</v>
      </c>
      <c r="B126" s="261" t="s">
        <v>34</v>
      </c>
      <c r="C126" s="268">
        <f t="shared" ref="C126:D126" si="36">C92</f>
        <v>18.468</v>
      </c>
      <c r="D126" s="269">
        <f t="shared" si="36"/>
        <v>0.37600000000000122</v>
      </c>
    </row>
    <row r="127" spans="1:7" x14ac:dyDescent="0.3">
      <c r="A127" s="5" t="s">
        <v>35</v>
      </c>
    </row>
    <row r="128" spans="1:7" ht="16.2" thickBot="1" x14ac:dyDescent="0.35">
      <c r="A128" s="147" t="s">
        <v>213</v>
      </c>
    </row>
    <row r="129" spans="1:11" ht="16.2" thickBot="1" x14ac:dyDescent="0.35">
      <c r="A129" s="232"/>
      <c r="B129" s="233"/>
      <c r="C129" s="270" t="s">
        <v>25</v>
      </c>
      <c r="D129" s="271" t="s">
        <v>26</v>
      </c>
      <c r="E129" s="194" t="s">
        <v>235</v>
      </c>
    </row>
    <row r="130" spans="1:11" x14ac:dyDescent="0.3">
      <c r="A130" s="243" t="s">
        <v>27</v>
      </c>
      <c r="B130" s="258" t="s">
        <v>28</v>
      </c>
      <c r="C130" s="272">
        <v>2.4740000000000002</v>
      </c>
      <c r="D130" s="273">
        <v>3.613</v>
      </c>
      <c r="E130" s="274"/>
      <c r="F130" s="275" t="s">
        <v>233</v>
      </c>
      <c r="K130" s="274"/>
    </row>
    <row r="131" spans="1:11" x14ac:dyDescent="0.3">
      <c r="A131" s="246" t="s">
        <v>27</v>
      </c>
      <c r="B131" s="260" t="s">
        <v>29</v>
      </c>
      <c r="C131" s="276">
        <v>1.609</v>
      </c>
      <c r="D131" s="277">
        <v>2.3439999999999999</v>
      </c>
      <c r="E131" s="274"/>
      <c r="F131" s="278" t="s">
        <v>232</v>
      </c>
    </row>
    <row r="132" spans="1:11" x14ac:dyDescent="0.3">
      <c r="A132" s="246" t="s">
        <v>27</v>
      </c>
      <c r="B132" s="260" t="s">
        <v>30</v>
      </c>
      <c r="C132" s="276">
        <v>1.655</v>
      </c>
      <c r="D132" s="277">
        <v>2.6859999999999999</v>
      </c>
      <c r="E132" s="274"/>
      <c r="F132" s="7" t="s">
        <v>274</v>
      </c>
    </row>
    <row r="133" spans="1:11" x14ac:dyDescent="0.3">
      <c r="A133" s="246" t="s">
        <v>27</v>
      </c>
      <c r="B133" s="260" t="s">
        <v>31</v>
      </c>
      <c r="C133" s="276">
        <v>1.504</v>
      </c>
      <c r="D133" s="277">
        <v>1.8759999999999999</v>
      </c>
      <c r="E133" s="274"/>
      <c r="F133" s="7" t="s">
        <v>275</v>
      </c>
    </row>
    <row r="134" spans="1:11" x14ac:dyDescent="0.3">
      <c r="A134" s="246" t="s">
        <v>27</v>
      </c>
      <c r="B134" s="260" t="s">
        <v>32</v>
      </c>
      <c r="C134" s="276">
        <v>1.5880000000000001</v>
      </c>
      <c r="D134" s="277">
        <v>2.6150000000000002</v>
      </c>
      <c r="E134" s="274"/>
    </row>
    <row r="135" spans="1:11" x14ac:dyDescent="0.3">
      <c r="A135" s="246" t="s">
        <v>27</v>
      </c>
      <c r="B135" s="260" t="s">
        <v>33</v>
      </c>
      <c r="C135" s="276">
        <v>1.3420000000000001</v>
      </c>
      <c r="D135" s="277">
        <v>1.552</v>
      </c>
      <c r="E135" s="274"/>
    </row>
    <row r="136" spans="1:11" ht="16.2" thickBot="1" x14ac:dyDescent="0.35">
      <c r="A136" s="249" t="s">
        <v>27</v>
      </c>
      <c r="B136" s="261" t="s">
        <v>34</v>
      </c>
      <c r="C136" s="276">
        <v>1.284</v>
      </c>
      <c r="D136" s="277">
        <v>1.4770000000000001</v>
      </c>
      <c r="E136" s="274"/>
      <c r="F136" s="274"/>
      <c r="G136" s="274"/>
      <c r="H136" s="259"/>
      <c r="I136" s="259"/>
    </row>
    <row r="137" spans="1:11" x14ac:dyDescent="0.3">
      <c r="A137" s="243" t="s">
        <v>36</v>
      </c>
      <c r="B137" s="216" t="s">
        <v>28</v>
      </c>
      <c r="C137" s="279">
        <v>4.2060000000000004</v>
      </c>
      <c r="D137" s="280">
        <v>18.236999999999998</v>
      </c>
      <c r="F137" s="259"/>
      <c r="G137" s="259"/>
      <c r="H137" s="259"/>
      <c r="I137" s="259"/>
    </row>
    <row r="138" spans="1:11" x14ac:dyDescent="0.3">
      <c r="A138" s="246" t="s">
        <v>36</v>
      </c>
      <c r="B138" s="223" t="s">
        <v>29</v>
      </c>
      <c r="C138" s="281">
        <v>0.50700000000000001</v>
      </c>
      <c r="D138" s="282">
        <v>6.5419999999999998</v>
      </c>
      <c r="F138" s="259"/>
      <c r="G138" s="259"/>
      <c r="H138" s="259"/>
      <c r="I138" s="259"/>
    </row>
    <row r="139" spans="1:11" x14ac:dyDescent="0.3">
      <c r="A139" s="246" t="s">
        <v>36</v>
      </c>
      <c r="B139" s="223" t="s">
        <v>30</v>
      </c>
      <c r="C139" s="281">
        <v>2.08</v>
      </c>
      <c r="D139" s="282">
        <v>10.654</v>
      </c>
      <c r="F139" s="259"/>
      <c r="G139" s="259"/>
      <c r="H139" s="259"/>
      <c r="I139" s="259"/>
    </row>
    <row r="140" spans="1:11" x14ac:dyDescent="0.3">
      <c r="A140" s="246" t="s">
        <v>36</v>
      </c>
      <c r="B140" s="223" t="s">
        <v>31</v>
      </c>
      <c r="C140" s="281">
        <v>0.98799999999999999</v>
      </c>
      <c r="D140" s="282">
        <v>11.224</v>
      </c>
      <c r="F140" s="259"/>
      <c r="G140" s="259"/>
      <c r="H140" s="259"/>
      <c r="I140" s="259"/>
    </row>
    <row r="141" spans="1:11" x14ac:dyDescent="0.3">
      <c r="A141" s="246" t="s">
        <v>36</v>
      </c>
      <c r="B141" s="223" t="s">
        <v>32</v>
      </c>
      <c r="C141" s="281">
        <v>0.91500000000000004</v>
      </c>
      <c r="D141" s="282">
        <v>7.3029999999999999</v>
      </c>
      <c r="F141" s="259"/>
      <c r="G141" s="259"/>
      <c r="H141" s="259"/>
      <c r="I141" s="259"/>
    </row>
    <row r="142" spans="1:11" x14ac:dyDescent="0.3">
      <c r="A142" s="246" t="s">
        <v>36</v>
      </c>
      <c r="B142" s="223" t="s">
        <v>33</v>
      </c>
      <c r="C142" s="281">
        <v>0.19800000000000001</v>
      </c>
      <c r="D142" s="282">
        <v>6.399</v>
      </c>
      <c r="F142" s="259"/>
      <c r="G142" s="259"/>
      <c r="H142" s="259"/>
      <c r="I142" s="259"/>
    </row>
    <row r="143" spans="1:11" ht="16.2" thickBot="1" x14ac:dyDescent="0.35">
      <c r="A143" s="249" t="s">
        <v>36</v>
      </c>
      <c r="B143" s="229" t="s">
        <v>34</v>
      </c>
      <c r="C143" s="281">
        <v>2.0910000000000002</v>
      </c>
      <c r="D143" s="282">
        <v>13.641</v>
      </c>
      <c r="F143" s="259"/>
      <c r="G143" s="259"/>
    </row>
    <row r="144" spans="1:11" x14ac:dyDescent="0.3">
      <c r="A144" s="243" t="s">
        <v>37</v>
      </c>
      <c r="B144" s="216" t="s">
        <v>28</v>
      </c>
      <c r="C144" s="279">
        <v>20.056999999999999</v>
      </c>
      <c r="D144" s="280">
        <v>2.4390000000000001</v>
      </c>
    </row>
    <row r="145" spans="1:7" x14ac:dyDescent="0.3">
      <c r="A145" s="246" t="s">
        <v>37</v>
      </c>
      <c r="B145" s="223" t="s">
        <v>29</v>
      </c>
      <c r="C145" s="281">
        <v>20.125</v>
      </c>
      <c r="D145" s="282">
        <v>16.492999999999999</v>
      </c>
    </row>
    <row r="146" spans="1:7" x14ac:dyDescent="0.3">
      <c r="A146" s="246" t="s">
        <v>37</v>
      </c>
      <c r="B146" s="223" t="s">
        <v>30</v>
      </c>
      <c r="C146" s="281">
        <v>13.673</v>
      </c>
      <c r="D146" s="282">
        <v>5.9740000000000002</v>
      </c>
    </row>
    <row r="147" spans="1:7" x14ac:dyDescent="0.3">
      <c r="A147" s="246" t="s">
        <v>37</v>
      </c>
      <c r="B147" s="223" t="s">
        <v>31</v>
      </c>
      <c r="C147" s="281">
        <v>13.037000000000001</v>
      </c>
      <c r="D147" s="282">
        <v>4.1459999999999999</v>
      </c>
    </row>
    <row r="148" spans="1:7" x14ac:dyDescent="0.3">
      <c r="A148" s="246" t="s">
        <v>37</v>
      </c>
      <c r="B148" s="223" t="s">
        <v>32</v>
      </c>
      <c r="C148" s="281">
        <v>12.298999999999999</v>
      </c>
      <c r="D148" s="282">
        <v>7.9989999999999997</v>
      </c>
    </row>
    <row r="149" spans="1:7" x14ac:dyDescent="0.3">
      <c r="A149" s="246" t="s">
        <v>37</v>
      </c>
      <c r="B149" s="223" t="s">
        <v>33</v>
      </c>
      <c r="C149" s="281">
        <v>13.223000000000001</v>
      </c>
      <c r="D149" s="282">
        <v>9.9440000000000008</v>
      </c>
    </row>
    <row r="150" spans="1:7" ht="16.2" thickBot="1" x14ac:dyDescent="0.35">
      <c r="A150" s="249" t="s">
        <v>37</v>
      </c>
      <c r="B150" s="229" t="s">
        <v>34</v>
      </c>
      <c r="C150" s="281">
        <v>14.739000000000001</v>
      </c>
      <c r="D150" s="282">
        <v>2.7549999999999999</v>
      </c>
      <c r="F150" s="259"/>
    </row>
    <row r="151" spans="1:7" x14ac:dyDescent="0.3">
      <c r="A151" s="243" t="s">
        <v>38</v>
      </c>
      <c r="B151" s="216" t="s">
        <v>28</v>
      </c>
      <c r="C151" s="279">
        <v>3.2839999999999998</v>
      </c>
      <c r="D151" s="280">
        <v>1.4999999999999999E-2</v>
      </c>
      <c r="F151" s="259"/>
    </row>
    <row r="152" spans="1:7" x14ac:dyDescent="0.3">
      <c r="A152" s="246" t="s">
        <v>38</v>
      </c>
      <c r="B152" s="223" t="s">
        <v>29</v>
      </c>
      <c r="C152" s="281">
        <v>3.5289999999999999</v>
      </c>
      <c r="D152" s="282">
        <v>4.9000000000000002E-2</v>
      </c>
      <c r="F152" s="259"/>
    </row>
    <row r="153" spans="1:7" x14ac:dyDescent="0.3">
      <c r="A153" s="246" t="s">
        <v>38</v>
      </c>
      <c r="B153" s="223" t="s">
        <v>30</v>
      </c>
      <c r="C153" s="281">
        <v>2.7029999999999998</v>
      </c>
      <c r="D153" s="282">
        <v>1.4999999999999999E-2</v>
      </c>
      <c r="F153" s="259"/>
    </row>
    <row r="154" spans="1:7" x14ac:dyDescent="0.3">
      <c r="A154" s="246" t="s">
        <v>38</v>
      </c>
      <c r="B154" s="223" t="s">
        <v>31</v>
      </c>
      <c r="C154" s="281">
        <v>1.724</v>
      </c>
      <c r="D154" s="282">
        <v>2.1000000000000001E-2</v>
      </c>
      <c r="F154" s="259"/>
    </row>
    <row r="155" spans="1:7" x14ac:dyDescent="0.3">
      <c r="A155" s="246" t="s">
        <v>38</v>
      </c>
      <c r="B155" s="223" t="s">
        <v>32</v>
      </c>
      <c r="C155" s="281">
        <v>2.847</v>
      </c>
      <c r="D155" s="282">
        <v>2.4E-2</v>
      </c>
      <c r="F155" s="259"/>
    </row>
    <row r="156" spans="1:7" x14ac:dyDescent="0.3">
      <c r="A156" s="246" t="s">
        <v>38</v>
      </c>
      <c r="B156" s="223" t="s">
        <v>33</v>
      </c>
      <c r="C156" s="281">
        <v>2.0019999999999998</v>
      </c>
      <c r="D156" s="282">
        <v>7.0000000000000007E-2</v>
      </c>
      <c r="F156" s="259"/>
    </row>
    <row r="157" spans="1:7" ht="16.2" thickBot="1" x14ac:dyDescent="0.35">
      <c r="A157" s="249" t="s">
        <v>38</v>
      </c>
      <c r="B157" s="229" t="s">
        <v>34</v>
      </c>
      <c r="C157" s="283">
        <v>2.1440000000000001</v>
      </c>
      <c r="D157" s="284">
        <v>1.4999999999999999E-2</v>
      </c>
      <c r="F157" s="259"/>
    </row>
    <row r="158" spans="1:7" x14ac:dyDescent="0.3">
      <c r="A158" s="5" t="s">
        <v>35</v>
      </c>
    </row>
    <row r="159" spans="1:7" ht="16.2" thickBot="1" x14ac:dyDescent="0.35">
      <c r="A159" s="147" t="s">
        <v>214</v>
      </c>
    </row>
    <row r="160" spans="1:7" ht="16.2" thickBot="1" x14ac:dyDescent="0.35">
      <c r="A160" s="232"/>
      <c r="B160" s="233"/>
      <c r="C160" s="270" t="s">
        <v>25</v>
      </c>
      <c r="D160" s="271" t="s">
        <v>26</v>
      </c>
      <c r="E160" s="332" t="s">
        <v>11</v>
      </c>
      <c r="F160" s="332" t="s">
        <v>279</v>
      </c>
      <c r="G160" s="181" t="s">
        <v>225</v>
      </c>
    </row>
    <row r="161" spans="1:32" x14ac:dyDescent="0.3">
      <c r="A161" s="243" t="s">
        <v>27</v>
      </c>
      <c r="B161" s="243" t="s">
        <v>28</v>
      </c>
      <c r="C161" s="285">
        <v>7282</v>
      </c>
      <c r="D161" s="286">
        <v>7334</v>
      </c>
      <c r="E161" s="508">
        <f>SUMPRODUCT(C161:D161,C130:D130,B281:C281)/SUMPRODUCT(B281:C281,C130:D130)</f>
        <v>7326.9726119783791</v>
      </c>
      <c r="F161" s="514">
        <f>ROUND(0.9*(1-0.15)*E161,0)</f>
        <v>5605</v>
      </c>
      <c r="G161" s="181" t="s">
        <v>224</v>
      </c>
      <c r="H161" s="287"/>
      <c r="I161" s="287"/>
      <c r="J161" s="287"/>
      <c r="M161" s="288"/>
      <c r="N161" s="288"/>
      <c r="O161" s="288"/>
      <c r="P161" s="288"/>
      <c r="Q161" s="288"/>
      <c r="R161" s="288"/>
      <c r="S161" s="288"/>
      <c r="T161" s="288"/>
      <c r="U161" s="288"/>
      <c r="V161" s="288"/>
      <c r="W161" s="288"/>
      <c r="X161" s="288"/>
      <c r="Y161" s="288"/>
      <c r="Z161" s="288"/>
      <c r="AA161" s="288"/>
      <c r="AB161" s="288"/>
      <c r="AC161" s="288"/>
      <c r="AD161" s="288"/>
      <c r="AE161" s="288"/>
      <c r="AF161" s="288"/>
    </row>
    <row r="162" spans="1:32" x14ac:dyDescent="0.3">
      <c r="A162" s="246" t="s">
        <v>27</v>
      </c>
      <c r="B162" s="246" t="s">
        <v>29</v>
      </c>
      <c r="C162" s="289">
        <v>9250</v>
      </c>
      <c r="D162" s="290">
        <v>8695</v>
      </c>
      <c r="E162" s="509">
        <f>SUMPRODUCT(C162:D162,C131:D131,B282:C282)/SUMPRODUCT(B282:C282,C131:D131)</f>
        <v>8871.3996640876649</v>
      </c>
      <c r="F162" s="515">
        <f t="shared" ref="F162:F167" si="37">ROUND(0.9*(1-0.15)*E162,0)</f>
        <v>6787</v>
      </c>
      <c r="G162" s="192" t="s">
        <v>234</v>
      </c>
      <c r="H162" s="287"/>
      <c r="I162" s="287"/>
      <c r="J162" s="287"/>
      <c r="M162" s="288"/>
      <c r="N162" s="288"/>
      <c r="O162" s="288"/>
      <c r="P162" s="288"/>
      <c r="Q162" s="288"/>
      <c r="R162" s="288"/>
      <c r="S162" s="288"/>
      <c r="T162" s="288"/>
      <c r="U162" s="288"/>
      <c r="V162" s="288"/>
      <c r="W162" s="288"/>
      <c r="X162" s="288"/>
      <c r="Y162" s="288"/>
      <c r="Z162" s="288"/>
      <c r="AA162" s="288"/>
      <c r="AB162" s="288"/>
      <c r="AC162" s="288"/>
      <c r="AD162" s="288"/>
      <c r="AE162" s="288"/>
      <c r="AF162" s="288"/>
    </row>
    <row r="163" spans="1:32" ht="16.2" x14ac:dyDescent="0.35">
      <c r="A163" s="246" t="s">
        <v>27</v>
      </c>
      <c r="B163" s="246" t="s">
        <v>30</v>
      </c>
      <c r="C163" s="289">
        <v>8522</v>
      </c>
      <c r="D163" s="290">
        <v>7921</v>
      </c>
      <c r="E163" s="509">
        <f t="shared" ref="E163:E167" si="38">SUMPRODUCT(C163:D163,C132:D132,B283:C283)/SUMPRODUCT(B283:C283,C132:D132)</f>
        <v>8006.5993521885512</v>
      </c>
      <c r="F163" s="515">
        <f t="shared" si="37"/>
        <v>6125</v>
      </c>
      <c r="G163" s="507" t="s">
        <v>288</v>
      </c>
      <c r="H163" s="287"/>
      <c r="I163" s="287"/>
      <c r="J163" s="287"/>
      <c r="M163" s="288"/>
      <c r="N163" s="288"/>
      <c r="O163" s="288"/>
      <c r="P163" s="288"/>
      <c r="Q163" s="288"/>
      <c r="R163" s="288"/>
      <c r="S163" s="288"/>
      <c r="T163" s="288"/>
      <c r="U163" s="288"/>
      <c r="V163" s="288"/>
      <c r="W163" s="288"/>
      <c r="X163" s="288"/>
      <c r="Y163" s="288"/>
      <c r="Z163" s="288"/>
      <c r="AA163" s="288"/>
      <c r="AB163" s="288"/>
      <c r="AC163" s="288"/>
      <c r="AD163" s="288"/>
      <c r="AE163" s="288"/>
      <c r="AF163" s="288"/>
    </row>
    <row r="164" spans="1:32" ht="16.2" x14ac:dyDescent="0.35">
      <c r="A164" s="246" t="s">
        <v>27</v>
      </c>
      <c r="B164" s="246" t="s">
        <v>31</v>
      </c>
      <c r="C164" s="289">
        <v>7834</v>
      </c>
      <c r="D164" s="290">
        <v>7467</v>
      </c>
      <c r="E164" s="509">
        <f t="shared" si="38"/>
        <v>7585.9253023416804</v>
      </c>
      <c r="F164" s="515">
        <f t="shared" si="37"/>
        <v>5803</v>
      </c>
      <c r="G164" s="507" t="s">
        <v>289</v>
      </c>
      <c r="H164" s="287"/>
      <c r="I164" s="287"/>
      <c r="J164" s="287"/>
      <c r="M164" s="288"/>
      <c r="N164" s="288"/>
      <c r="O164" s="288"/>
      <c r="P164" s="288"/>
      <c r="Q164" s="288"/>
      <c r="R164" s="288"/>
      <c r="S164" s="288"/>
      <c r="T164" s="288"/>
      <c r="U164" s="288"/>
      <c r="V164" s="288"/>
      <c r="W164" s="288"/>
      <c r="X164" s="288"/>
      <c r="Y164" s="288"/>
      <c r="Z164" s="288"/>
      <c r="AA164" s="288"/>
      <c r="AB164" s="288"/>
      <c r="AC164" s="288"/>
      <c r="AD164" s="288"/>
      <c r="AE164" s="288"/>
      <c r="AF164" s="288"/>
    </row>
    <row r="165" spans="1:32" x14ac:dyDescent="0.3">
      <c r="A165" s="246" t="s">
        <v>27</v>
      </c>
      <c r="B165" s="246" t="s">
        <v>32</v>
      </c>
      <c r="C165" s="289">
        <v>6590</v>
      </c>
      <c r="D165" s="290">
        <v>6798</v>
      </c>
      <c r="E165" s="509">
        <f t="shared" si="38"/>
        <v>6755.7319799653633</v>
      </c>
      <c r="F165" s="515">
        <f t="shared" si="37"/>
        <v>5168</v>
      </c>
      <c r="G165" s="287"/>
      <c r="H165" s="287"/>
      <c r="I165" s="287"/>
      <c r="J165" s="287"/>
    </row>
    <row r="166" spans="1:32" x14ac:dyDescent="0.3">
      <c r="A166" s="246" t="s">
        <v>27</v>
      </c>
      <c r="B166" s="246" t="s">
        <v>33</v>
      </c>
      <c r="C166" s="289">
        <v>7036</v>
      </c>
      <c r="D166" s="290">
        <v>8335</v>
      </c>
      <c r="E166" s="509">
        <f t="shared" si="38"/>
        <v>7561.0426153516419</v>
      </c>
      <c r="F166" s="515">
        <f t="shared" si="37"/>
        <v>5784</v>
      </c>
      <c r="G166" s="287"/>
      <c r="H166" s="287"/>
      <c r="I166" s="287"/>
      <c r="J166" s="287"/>
    </row>
    <row r="167" spans="1:32" ht="16.2" thickBot="1" x14ac:dyDescent="0.35">
      <c r="A167" s="249" t="s">
        <v>27</v>
      </c>
      <c r="B167" s="249" t="s">
        <v>34</v>
      </c>
      <c r="C167" s="291">
        <v>6513</v>
      </c>
      <c r="D167" s="292">
        <v>6492</v>
      </c>
      <c r="E167" s="509">
        <f t="shared" si="38"/>
        <v>6496.8274682027786</v>
      </c>
      <c r="F167" s="516">
        <f t="shared" si="37"/>
        <v>4970</v>
      </c>
    </row>
    <row r="168" spans="1:32" x14ac:dyDescent="0.3">
      <c r="A168" s="243" t="s">
        <v>36</v>
      </c>
      <c r="B168" s="243" t="s">
        <v>28</v>
      </c>
      <c r="C168" s="293">
        <v>88997</v>
      </c>
      <c r="D168" s="511">
        <v>76973</v>
      </c>
      <c r="E168" s="508">
        <f>SUMPRODUCT(C168:D168,C137:D137,B281:C281)/SUMPRODUCT(B281:C281,C137:D137)</f>
        <v>77574.178379740784</v>
      </c>
      <c r="F168" s="514">
        <f>ROUND(0.5*(1-0.09)*E168,0)</f>
        <v>35296</v>
      </c>
      <c r="L168" s="295"/>
    </row>
    <row r="169" spans="1:32" x14ac:dyDescent="0.3">
      <c r="A169" s="246" t="s">
        <v>36</v>
      </c>
      <c r="B169" s="246" t="s">
        <v>29</v>
      </c>
      <c r="C169" s="296">
        <v>83205</v>
      </c>
      <c r="D169" s="512">
        <v>78733</v>
      </c>
      <c r="E169" s="509">
        <f t="shared" ref="E169:E173" si="39">SUMPRODUCT(C169:D169,C138:D138,B282:C282)/SUMPRODUCT(B282:C282,C138:D138)</f>
        <v>78956.487208923092</v>
      </c>
      <c r="F169" s="515">
        <f t="shared" ref="F169:F188" si="40">ROUND(0.5*(1-0.09)*E169,0)</f>
        <v>35925</v>
      </c>
    </row>
    <row r="170" spans="1:32" x14ac:dyDescent="0.3">
      <c r="A170" s="246" t="s">
        <v>36</v>
      </c>
      <c r="B170" s="246" t="s">
        <v>30</v>
      </c>
      <c r="C170" s="296">
        <v>84317</v>
      </c>
      <c r="D170" s="512">
        <v>78313</v>
      </c>
      <c r="E170" s="509">
        <f t="shared" si="39"/>
        <v>78613.159138831281</v>
      </c>
      <c r="F170" s="515">
        <f t="shared" si="40"/>
        <v>35769</v>
      </c>
    </row>
    <row r="171" spans="1:32" x14ac:dyDescent="0.3">
      <c r="A171" s="246" t="s">
        <v>36</v>
      </c>
      <c r="B171" s="246" t="s">
        <v>31</v>
      </c>
      <c r="C171" s="296">
        <v>86491</v>
      </c>
      <c r="D171" s="512">
        <v>80318</v>
      </c>
      <c r="E171" s="509">
        <f t="shared" si="39"/>
        <v>80626.676790549958</v>
      </c>
      <c r="F171" s="515">
        <f t="shared" si="40"/>
        <v>36685</v>
      </c>
    </row>
    <row r="172" spans="1:32" x14ac:dyDescent="0.3">
      <c r="A172" s="246" t="s">
        <v>36</v>
      </c>
      <c r="B172" s="246" t="s">
        <v>32</v>
      </c>
      <c r="C172" s="296">
        <v>79873</v>
      </c>
      <c r="D172" s="512">
        <v>75491</v>
      </c>
      <c r="E172" s="509">
        <f t="shared" si="39"/>
        <v>75710.052161797081</v>
      </c>
      <c r="F172" s="515">
        <f t="shared" si="40"/>
        <v>34448</v>
      </c>
    </row>
    <row r="173" spans="1:32" x14ac:dyDescent="0.3">
      <c r="A173" s="246" t="s">
        <v>36</v>
      </c>
      <c r="B173" s="246" t="s">
        <v>33</v>
      </c>
      <c r="C173" s="296">
        <v>87248</v>
      </c>
      <c r="D173" s="512">
        <v>76527</v>
      </c>
      <c r="E173" s="509">
        <f t="shared" si="39"/>
        <v>77064.18664382094</v>
      </c>
      <c r="F173" s="515">
        <f t="shared" si="40"/>
        <v>35064</v>
      </c>
    </row>
    <row r="174" spans="1:32" ht="16.2" thickBot="1" x14ac:dyDescent="0.35">
      <c r="A174" s="249" t="s">
        <v>36</v>
      </c>
      <c r="B174" s="249" t="s">
        <v>34</v>
      </c>
      <c r="C174" s="298">
        <v>76233</v>
      </c>
      <c r="D174" s="513">
        <v>69961</v>
      </c>
      <c r="E174" s="510">
        <f>SUMPRODUCT(C174:D174,C143:D143,B287:C287)/SUMPRODUCT(B287:C287,C143:D143)</f>
        <v>70274.612556950757</v>
      </c>
      <c r="F174" s="516">
        <f t="shared" si="40"/>
        <v>31975</v>
      </c>
    </row>
    <row r="175" spans="1:32" x14ac:dyDescent="0.3">
      <c r="A175" s="243" t="s">
        <v>37</v>
      </c>
      <c r="B175" s="243" t="s">
        <v>28</v>
      </c>
      <c r="C175" s="293">
        <v>88997</v>
      </c>
      <c r="D175" s="294">
        <v>76973</v>
      </c>
      <c r="E175" s="508">
        <f>SUMPRODUCT(C175:D175,C144:D144,B281:C281)/SUMPRODUCT(B281:C281,C144:D144)</f>
        <v>84817.043697337605</v>
      </c>
      <c r="F175" s="514">
        <f t="shared" si="40"/>
        <v>38592</v>
      </c>
      <c r="I175" s="287"/>
      <c r="J175" s="287"/>
    </row>
    <row r="176" spans="1:32" x14ac:dyDescent="0.3">
      <c r="A176" s="246" t="s">
        <v>37</v>
      </c>
      <c r="B176" s="246" t="s">
        <v>29</v>
      </c>
      <c r="C176" s="296">
        <v>83205</v>
      </c>
      <c r="D176" s="297">
        <v>78733</v>
      </c>
      <c r="E176" s="509">
        <f t="shared" ref="E176:E181" si="41">SUMPRODUCT(C176:D176,C145:D145,B282:C282)/SUMPRODUCT(B282:C282,C145:D145)</f>
        <v>80758.92744292201</v>
      </c>
      <c r="F176" s="515">
        <f t="shared" si="40"/>
        <v>36745</v>
      </c>
      <c r="J176" s="288"/>
    </row>
    <row r="177" spans="1:10" x14ac:dyDescent="0.3">
      <c r="A177" s="246" t="s">
        <v>37</v>
      </c>
      <c r="B177" s="246" t="s">
        <v>30</v>
      </c>
      <c r="C177" s="296">
        <v>84317</v>
      </c>
      <c r="D177" s="297">
        <v>78313</v>
      </c>
      <c r="E177" s="509">
        <f t="shared" si="41"/>
        <v>80603.778113880006</v>
      </c>
      <c r="F177" s="515">
        <f t="shared" si="40"/>
        <v>36675</v>
      </c>
      <c r="J177" s="288"/>
    </row>
    <row r="178" spans="1:10" x14ac:dyDescent="0.3">
      <c r="A178" s="246" t="s">
        <v>37</v>
      </c>
      <c r="B178" s="246" t="s">
        <v>31</v>
      </c>
      <c r="C178" s="296">
        <v>86491</v>
      </c>
      <c r="D178" s="297">
        <v>80318</v>
      </c>
      <c r="E178" s="509">
        <f t="shared" si="41"/>
        <v>84347.814068794018</v>
      </c>
      <c r="F178" s="515">
        <f t="shared" si="40"/>
        <v>38378</v>
      </c>
      <c r="J178" s="288"/>
    </row>
    <row r="179" spans="1:10" x14ac:dyDescent="0.3">
      <c r="A179" s="246" t="s">
        <v>37</v>
      </c>
      <c r="B179" s="246" t="s">
        <v>32</v>
      </c>
      <c r="C179" s="296">
        <v>79873</v>
      </c>
      <c r="D179" s="297">
        <v>75491</v>
      </c>
      <c r="E179" s="509">
        <f t="shared" si="41"/>
        <v>77210.375681432182</v>
      </c>
      <c r="F179" s="515">
        <f t="shared" si="40"/>
        <v>35131</v>
      </c>
      <c r="J179" s="288"/>
    </row>
    <row r="180" spans="1:10" x14ac:dyDescent="0.3">
      <c r="A180" s="246" t="s">
        <v>37</v>
      </c>
      <c r="B180" s="246" t="s">
        <v>33</v>
      </c>
      <c r="C180" s="296">
        <v>87248</v>
      </c>
      <c r="D180" s="297">
        <v>76527</v>
      </c>
      <c r="E180" s="509">
        <f t="shared" si="41"/>
        <v>83966.286271094534</v>
      </c>
      <c r="F180" s="515">
        <f t="shared" si="40"/>
        <v>38205</v>
      </c>
      <c r="J180" s="288"/>
    </row>
    <row r="181" spans="1:10" ht="16.2" thickBot="1" x14ac:dyDescent="0.35">
      <c r="A181" s="249" t="s">
        <v>37</v>
      </c>
      <c r="B181" s="249" t="s">
        <v>34</v>
      </c>
      <c r="C181" s="298">
        <v>76233</v>
      </c>
      <c r="D181" s="299">
        <v>69961</v>
      </c>
      <c r="E181" s="510">
        <f t="shared" si="41"/>
        <v>74022.194639829395</v>
      </c>
      <c r="F181" s="516">
        <f t="shared" si="40"/>
        <v>33680</v>
      </c>
      <c r="J181" s="288"/>
    </row>
    <row r="182" spans="1:10" x14ac:dyDescent="0.3">
      <c r="A182" s="243" t="s">
        <v>38</v>
      </c>
      <c r="B182" s="243" t="s">
        <v>28</v>
      </c>
      <c r="C182" s="293">
        <v>88997</v>
      </c>
      <c r="D182" s="294">
        <v>76973</v>
      </c>
      <c r="E182" s="508">
        <f>SUMPRODUCT(C182:D182,C151:D151,B281:C281)/SUMPRODUCT(B281:C281,C151:D151)</f>
        <v>88761.052125349699</v>
      </c>
      <c r="F182" s="514">
        <f t="shared" si="40"/>
        <v>40386</v>
      </c>
      <c r="J182" s="288"/>
    </row>
    <row r="183" spans="1:10" x14ac:dyDescent="0.3">
      <c r="A183" s="246" t="s">
        <v>38</v>
      </c>
      <c r="B183" s="246" t="s">
        <v>29</v>
      </c>
      <c r="C183" s="296">
        <v>83205</v>
      </c>
      <c r="D183" s="297">
        <v>78733</v>
      </c>
      <c r="E183" s="509">
        <f t="shared" ref="E183:E188" si="42">SUMPRODUCT(C183:D183,C152:D152,B282:C282)/SUMPRODUCT(B282:C282,C152:D152)</f>
        <v>83115.353466028493</v>
      </c>
      <c r="F183" s="515">
        <f t="shared" si="40"/>
        <v>37817</v>
      </c>
      <c r="J183" s="288"/>
    </row>
    <row r="184" spans="1:10" x14ac:dyDescent="0.3">
      <c r="A184" s="246" t="s">
        <v>38</v>
      </c>
      <c r="B184" s="246" t="s">
        <v>30</v>
      </c>
      <c r="C184" s="296">
        <v>84317</v>
      </c>
      <c r="D184" s="297">
        <v>78313</v>
      </c>
      <c r="E184" s="509">
        <f t="shared" si="42"/>
        <v>84195.883876788255</v>
      </c>
      <c r="F184" s="515">
        <f t="shared" si="40"/>
        <v>38309</v>
      </c>
      <c r="J184" s="288"/>
    </row>
    <row r="185" spans="1:10" x14ac:dyDescent="0.3">
      <c r="A185" s="246" t="s">
        <v>38</v>
      </c>
      <c r="B185" s="246" t="s">
        <v>31</v>
      </c>
      <c r="C185" s="296">
        <v>86491</v>
      </c>
      <c r="D185" s="297">
        <v>80318</v>
      </c>
      <c r="E185" s="509">
        <f t="shared" si="42"/>
        <v>86367.762308683596</v>
      </c>
      <c r="F185" s="515">
        <f t="shared" si="40"/>
        <v>39297</v>
      </c>
      <c r="G185" s="288"/>
    </row>
    <row r="186" spans="1:10" x14ac:dyDescent="0.3">
      <c r="A186" s="246" t="s">
        <v>38</v>
      </c>
      <c r="B186" s="246" t="s">
        <v>32</v>
      </c>
      <c r="C186" s="296">
        <v>79873</v>
      </c>
      <c r="D186" s="297">
        <v>75491</v>
      </c>
      <c r="E186" s="509">
        <f t="shared" si="42"/>
        <v>79786.773965155749</v>
      </c>
      <c r="F186" s="515">
        <f t="shared" si="40"/>
        <v>36303</v>
      </c>
      <c r="G186" s="288"/>
    </row>
    <row r="187" spans="1:10" x14ac:dyDescent="0.3">
      <c r="A187" s="246" t="s">
        <v>38</v>
      </c>
      <c r="B187" s="246" t="s">
        <v>33</v>
      </c>
      <c r="C187" s="296">
        <v>87248</v>
      </c>
      <c r="D187" s="297">
        <v>76527</v>
      </c>
      <c r="E187" s="509">
        <f t="shared" si="42"/>
        <v>87032.528333610229</v>
      </c>
      <c r="F187" s="515">
        <f t="shared" si="40"/>
        <v>39600</v>
      </c>
      <c r="G187" s="288"/>
    </row>
    <row r="188" spans="1:10" ht="16.2" thickBot="1" x14ac:dyDescent="0.35">
      <c r="A188" s="249" t="s">
        <v>38</v>
      </c>
      <c r="B188" s="249" t="s">
        <v>34</v>
      </c>
      <c r="C188" s="298">
        <v>76233</v>
      </c>
      <c r="D188" s="299">
        <v>69961</v>
      </c>
      <c r="E188" s="510">
        <f t="shared" si="42"/>
        <v>76107.756383643486</v>
      </c>
      <c r="F188" s="516">
        <f t="shared" si="40"/>
        <v>34629</v>
      </c>
      <c r="G188" s="288"/>
    </row>
    <row r="189" spans="1:10" x14ac:dyDescent="0.3">
      <c r="A189" s="5" t="s">
        <v>35</v>
      </c>
    </row>
    <row r="190" spans="1:10" ht="16.2" thickBot="1" x14ac:dyDescent="0.35">
      <c r="A190" s="147" t="s">
        <v>94</v>
      </c>
    </row>
    <row r="191" spans="1:10" ht="16.2" thickBot="1" x14ac:dyDescent="0.35">
      <c r="A191" s="232"/>
      <c r="B191" s="233"/>
      <c r="C191" s="300" t="s">
        <v>25</v>
      </c>
      <c r="D191" s="301" t="s">
        <v>26</v>
      </c>
      <c r="E191" s="578">
        <f>SUM(E192:F219)-SUM(C192:D219)</f>
        <v>0</v>
      </c>
      <c r="G191" s="181" t="s">
        <v>206</v>
      </c>
    </row>
    <row r="192" spans="1:10" x14ac:dyDescent="0.3">
      <c r="A192" s="302" t="s">
        <v>27</v>
      </c>
      <c r="B192" s="303" t="s">
        <v>28</v>
      </c>
      <c r="C192" s="571">
        <v>7735.3398365603762</v>
      </c>
      <c r="D192" s="572">
        <v>7740.539836560376</v>
      </c>
      <c r="E192" s="570">
        <v>7735.3398365603762</v>
      </c>
      <c r="F192" s="570">
        <v>7740.539836560376</v>
      </c>
      <c r="G192" s="304" t="s">
        <v>226</v>
      </c>
      <c r="H192" s="287"/>
      <c r="I192" s="305"/>
      <c r="J192" s="305"/>
    </row>
    <row r="193" spans="1:10" x14ac:dyDescent="0.3">
      <c r="A193" s="306" t="s">
        <v>27</v>
      </c>
      <c r="B193" s="307" t="s">
        <v>29</v>
      </c>
      <c r="C193" s="573">
        <v>7586.9898365603785</v>
      </c>
      <c r="D193" s="574">
        <v>7531.4898365603749</v>
      </c>
      <c r="E193" s="570">
        <v>7586.9898365603785</v>
      </c>
      <c r="F193" s="570">
        <v>7531.4898365603749</v>
      </c>
      <c r="G193" s="287"/>
      <c r="H193" s="287"/>
      <c r="I193" s="305"/>
      <c r="J193" s="305"/>
    </row>
    <row r="194" spans="1:10" x14ac:dyDescent="0.3">
      <c r="A194" s="306" t="s">
        <v>27</v>
      </c>
      <c r="B194" s="307" t="s">
        <v>30</v>
      </c>
      <c r="C194" s="573">
        <v>7881.5698365603757</v>
      </c>
      <c r="D194" s="574">
        <v>7821.4698365603754</v>
      </c>
      <c r="E194" s="570">
        <v>7881.5698365603757</v>
      </c>
      <c r="F194" s="570">
        <v>7821.4698365603754</v>
      </c>
      <c r="G194" s="287"/>
      <c r="H194" s="287"/>
      <c r="I194" s="305"/>
      <c r="J194" s="305"/>
    </row>
    <row r="195" spans="1:10" x14ac:dyDescent="0.3">
      <c r="A195" s="306" t="s">
        <v>27</v>
      </c>
      <c r="B195" s="307" t="s">
        <v>31</v>
      </c>
      <c r="C195" s="573">
        <v>8127.4998365603769</v>
      </c>
      <c r="D195" s="574">
        <v>8090.7998365603762</v>
      </c>
      <c r="E195" s="570">
        <v>8127.4998365603769</v>
      </c>
      <c r="F195" s="570">
        <v>8090.7998365603762</v>
      </c>
      <c r="G195" s="287"/>
      <c r="H195" s="287"/>
      <c r="I195" s="305"/>
      <c r="J195" s="305"/>
    </row>
    <row r="196" spans="1:10" x14ac:dyDescent="0.3">
      <c r="A196" s="306" t="s">
        <v>27</v>
      </c>
      <c r="B196" s="307" t="s">
        <v>32</v>
      </c>
      <c r="C196" s="573">
        <v>7608.4698365603781</v>
      </c>
      <c r="D196" s="574">
        <v>7571.7698365603774</v>
      </c>
      <c r="E196" s="570">
        <v>7608.4698365603781</v>
      </c>
      <c r="F196" s="570">
        <v>7571.7698365603774</v>
      </c>
      <c r="G196" s="287"/>
      <c r="H196" s="287"/>
      <c r="I196" s="305"/>
      <c r="J196" s="305"/>
    </row>
    <row r="197" spans="1:10" x14ac:dyDescent="0.3">
      <c r="A197" s="306" t="s">
        <v>27</v>
      </c>
      <c r="B197" s="307" t="s">
        <v>33</v>
      </c>
      <c r="C197" s="573">
        <v>7268.4798365603783</v>
      </c>
      <c r="D197" s="574">
        <v>7398.379836560377</v>
      </c>
      <c r="E197" s="570">
        <v>7268.4798365603783</v>
      </c>
      <c r="F197" s="570">
        <v>7398.379836560377</v>
      </c>
      <c r="G197" s="287"/>
      <c r="H197" s="287"/>
      <c r="I197" s="305"/>
      <c r="J197" s="305"/>
    </row>
    <row r="198" spans="1:10" ht="16.2" thickBot="1" x14ac:dyDescent="0.35">
      <c r="A198" s="308" t="s">
        <v>27</v>
      </c>
      <c r="B198" s="309" t="s">
        <v>34</v>
      </c>
      <c r="C198" s="575">
        <v>7216.1798365603754</v>
      </c>
      <c r="D198" s="576">
        <v>7214.0798365603769</v>
      </c>
      <c r="E198" s="570">
        <v>7216.1798365603754</v>
      </c>
      <c r="F198" s="570">
        <v>7214.0798365603769</v>
      </c>
      <c r="G198" s="287"/>
      <c r="H198" s="287"/>
      <c r="I198" s="305"/>
      <c r="J198" s="305"/>
    </row>
    <row r="199" spans="1:10" x14ac:dyDescent="0.3">
      <c r="A199" s="302" t="s">
        <v>36</v>
      </c>
      <c r="B199" s="310" t="s">
        <v>28</v>
      </c>
      <c r="C199" s="571">
        <v>84815.584736699559</v>
      </c>
      <c r="D199" s="572">
        <v>76163.117312061455</v>
      </c>
      <c r="E199" s="570">
        <v>84815.584736699559</v>
      </c>
      <c r="F199" s="570">
        <v>76163.117312061455</v>
      </c>
      <c r="G199" s="287"/>
      <c r="H199" s="287"/>
      <c r="I199" s="305"/>
      <c r="J199" s="305"/>
    </row>
    <row r="200" spans="1:10" x14ac:dyDescent="0.3">
      <c r="A200" s="306" t="s">
        <v>36</v>
      </c>
      <c r="B200" s="311" t="s">
        <v>29</v>
      </c>
      <c r="C200" s="573">
        <v>84928.055132111986</v>
      </c>
      <c r="D200" s="574">
        <v>77439.407312061463</v>
      </c>
      <c r="E200" s="570">
        <v>84928.055132111986</v>
      </c>
      <c r="F200" s="570">
        <v>77439.407312061463</v>
      </c>
      <c r="G200" s="287"/>
      <c r="H200" s="287"/>
      <c r="I200" s="305"/>
      <c r="J200" s="305"/>
    </row>
    <row r="201" spans="1:10" x14ac:dyDescent="0.3">
      <c r="A201" s="306" t="s">
        <v>36</v>
      </c>
      <c r="B201" s="311" t="s">
        <v>30</v>
      </c>
      <c r="C201" s="573">
        <v>86271.035132111967</v>
      </c>
      <c r="D201" s="574">
        <v>78782.387312061488</v>
      </c>
      <c r="E201" s="570">
        <v>86271.035132111967</v>
      </c>
      <c r="F201" s="570">
        <v>78782.387312061488</v>
      </c>
      <c r="G201" s="287"/>
      <c r="H201" s="287"/>
      <c r="I201" s="305"/>
      <c r="J201" s="305"/>
    </row>
    <row r="202" spans="1:10" x14ac:dyDescent="0.3">
      <c r="A202" s="306" t="s">
        <v>36</v>
      </c>
      <c r="B202" s="311" t="s">
        <v>31</v>
      </c>
      <c r="C202" s="573">
        <v>87109.320752654807</v>
      </c>
      <c r="D202" s="574">
        <v>79923.06968154943</v>
      </c>
      <c r="E202" s="570">
        <v>87109.320752654807</v>
      </c>
      <c r="F202" s="570">
        <v>79923.06968154943</v>
      </c>
      <c r="G202" s="287"/>
      <c r="H202" s="287"/>
      <c r="I202" s="305"/>
      <c r="J202" s="305"/>
    </row>
    <row r="203" spans="1:10" x14ac:dyDescent="0.3">
      <c r="A203" s="306" t="s">
        <v>36</v>
      </c>
      <c r="B203" s="311" t="s">
        <v>32</v>
      </c>
      <c r="C203" s="573">
        <v>85552.230752654796</v>
      </c>
      <c r="D203" s="574">
        <v>78365.979681549434</v>
      </c>
      <c r="E203" s="570">
        <v>85552.230752654796</v>
      </c>
      <c r="F203" s="570">
        <v>78365.979681549434</v>
      </c>
      <c r="G203" s="287"/>
      <c r="H203" s="287"/>
      <c r="I203" s="305"/>
      <c r="J203" s="305"/>
    </row>
    <row r="204" spans="1:10" x14ac:dyDescent="0.3">
      <c r="A204" s="306" t="s">
        <v>36</v>
      </c>
      <c r="B204" s="311" t="s">
        <v>33</v>
      </c>
      <c r="C204" s="573">
        <v>84460.620752654795</v>
      </c>
      <c r="D204" s="574">
        <v>77274.369681549419</v>
      </c>
      <c r="E204" s="570">
        <v>84460.620752654795</v>
      </c>
      <c r="F204" s="570">
        <v>77274.369681549419</v>
      </c>
      <c r="G204" s="287"/>
      <c r="H204" s="287"/>
      <c r="I204" s="305"/>
      <c r="J204" s="305"/>
    </row>
    <row r="205" spans="1:10" ht="16.2" thickBot="1" x14ac:dyDescent="0.35">
      <c r="A205" s="308" t="s">
        <v>36</v>
      </c>
      <c r="B205" s="312" t="s">
        <v>34</v>
      </c>
      <c r="C205" s="575">
        <v>84881.964599654806</v>
      </c>
      <c r="D205" s="576">
        <v>77695.713528549415</v>
      </c>
      <c r="E205" s="570">
        <v>84881.964599654806</v>
      </c>
      <c r="F205" s="570">
        <v>77695.713528549415</v>
      </c>
      <c r="G205" s="287"/>
      <c r="H205" s="287"/>
      <c r="I205" s="305"/>
      <c r="J205" s="305"/>
    </row>
    <row r="206" spans="1:10" x14ac:dyDescent="0.3">
      <c r="A206" s="302" t="s">
        <v>37</v>
      </c>
      <c r="B206" s="310" t="s">
        <v>28</v>
      </c>
      <c r="C206" s="571">
        <v>85024.567669164928</v>
      </c>
      <c r="D206" s="572">
        <v>76293.567050835642</v>
      </c>
      <c r="E206" s="570">
        <v>85024.567669164928</v>
      </c>
      <c r="F206" s="570">
        <v>76293.567050835642</v>
      </c>
      <c r="G206" s="287"/>
      <c r="H206" s="287"/>
      <c r="I206" s="305"/>
      <c r="J206" s="305"/>
    </row>
    <row r="207" spans="1:10" x14ac:dyDescent="0.3">
      <c r="A207" s="306" t="s">
        <v>37</v>
      </c>
      <c r="B207" s="311" t="s">
        <v>29</v>
      </c>
      <c r="C207" s="573">
        <v>83748.277669164949</v>
      </c>
      <c r="D207" s="574">
        <v>77569.857050835635</v>
      </c>
      <c r="E207" s="570">
        <v>83748.277669164949</v>
      </c>
      <c r="F207" s="570">
        <v>77569.857050835635</v>
      </c>
      <c r="G207" s="287"/>
      <c r="H207" s="287"/>
      <c r="I207" s="305"/>
      <c r="J207" s="305"/>
    </row>
    <row r="208" spans="1:10" x14ac:dyDescent="0.3">
      <c r="A208" s="306" t="s">
        <v>37</v>
      </c>
      <c r="B208" s="311" t="s">
        <v>30</v>
      </c>
      <c r="C208" s="573">
        <v>85091.25766916493</v>
      </c>
      <c r="D208" s="574">
        <v>78912.837050835646</v>
      </c>
      <c r="E208" s="570">
        <v>85091.25766916493</v>
      </c>
      <c r="F208" s="570">
        <v>78912.837050835646</v>
      </c>
      <c r="G208" s="287"/>
      <c r="H208" s="287"/>
      <c r="I208" s="305"/>
      <c r="J208" s="305"/>
    </row>
    <row r="209" spans="1:10" x14ac:dyDescent="0.3">
      <c r="A209" s="306" t="s">
        <v>37</v>
      </c>
      <c r="B209" s="311" t="s">
        <v>31</v>
      </c>
      <c r="C209" s="573">
        <v>84359.449857515545</v>
      </c>
      <c r="D209" s="574">
        <v>75986.84705083564</v>
      </c>
      <c r="E209" s="570">
        <v>84359.449857515545</v>
      </c>
      <c r="F209" s="570">
        <v>75986.84705083564</v>
      </c>
      <c r="G209" s="287"/>
      <c r="H209" s="287"/>
      <c r="I209" s="305"/>
      <c r="J209" s="305"/>
    </row>
    <row r="210" spans="1:10" x14ac:dyDescent="0.3">
      <c r="A210" s="306" t="s">
        <v>37</v>
      </c>
      <c r="B210" s="311" t="s">
        <v>32</v>
      </c>
      <c r="C210" s="573">
        <v>82802.359857515534</v>
      </c>
      <c r="D210" s="574">
        <v>74429.757050835658</v>
      </c>
      <c r="E210" s="570">
        <v>82802.359857515534</v>
      </c>
      <c r="F210" s="570">
        <v>74429.757050835658</v>
      </c>
      <c r="G210" s="287"/>
      <c r="H210" s="287"/>
      <c r="I210" s="305"/>
      <c r="J210" s="305"/>
    </row>
    <row r="211" spans="1:10" x14ac:dyDescent="0.3">
      <c r="A211" s="306" t="s">
        <v>37</v>
      </c>
      <c r="B211" s="311" t="s">
        <v>33</v>
      </c>
      <c r="C211" s="573">
        <v>81710.749857515533</v>
      </c>
      <c r="D211" s="574">
        <v>75503.096267835659</v>
      </c>
      <c r="E211" s="570">
        <v>81710.749857515533</v>
      </c>
      <c r="F211" s="570">
        <v>75503.096267835659</v>
      </c>
      <c r="G211" s="287"/>
      <c r="H211" s="287"/>
      <c r="I211" s="305"/>
      <c r="J211" s="305"/>
    </row>
    <row r="212" spans="1:10" ht="16.2" thickBot="1" x14ac:dyDescent="0.35">
      <c r="A212" s="308" t="s">
        <v>37</v>
      </c>
      <c r="B212" s="312" t="s">
        <v>34</v>
      </c>
      <c r="C212" s="575">
        <v>82132.093704515515</v>
      </c>
      <c r="D212" s="576">
        <v>75924.44011483567</v>
      </c>
      <c r="E212" s="570">
        <v>82132.093704515515</v>
      </c>
      <c r="F212" s="570">
        <v>75924.44011483567</v>
      </c>
      <c r="G212" s="287"/>
      <c r="H212" s="287"/>
      <c r="I212" s="305"/>
      <c r="J212" s="305"/>
    </row>
    <row r="213" spans="1:10" x14ac:dyDescent="0.3">
      <c r="A213" s="302" t="s">
        <v>38</v>
      </c>
      <c r="B213" s="310" t="s">
        <v>28</v>
      </c>
      <c r="C213" s="571">
        <v>85001.319115651</v>
      </c>
      <c r="D213" s="572">
        <v>80362.180000000008</v>
      </c>
      <c r="E213" s="570">
        <v>85001.319115651</v>
      </c>
      <c r="F213" s="570">
        <v>80362.180000000008</v>
      </c>
      <c r="G213" s="287"/>
      <c r="H213" s="287"/>
      <c r="I213" s="305"/>
      <c r="J213" s="305"/>
    </row>
    <row r="214" spans="1:10" x14ac:dyDescent="0.3">
      <c r="A214" s="306" t="s">
        <v>38</v>
      </c>
      <c r="B214" s="311" t="s">
        <v>29</v>
      </c>
      <c r="C214" s="573">
        <v>83725.029115651007</v>
      </c>
      <c r="D214" s="574">
        <v>81397.629999999976</v>
      </c>
      <c r="E214" s="570">
        <v>83725.029115651007</v>
      </c>
      <c r="F214" s="570">
        <v>81397.629999999976</v>
      </c>
      <c r="G214" s="287"/>
      <c r="H214" s="287"/>
      <c r="I214" s="305"/>
      <c r="J214" s="305"/>
    </row>
    <row r="215" spans="1:10" x14ac:dyDescent="0.3">
      <c r="A215" s="306" t="s">
        <v>38</v>
      </c>
      <c r="B215" s="311" t="s">
        <v>30</v>
      </c>
      <c r="C215" s="573">
        <v>85068.009115651003</v>
      </c>
      <c r="D215" s="574">
        <v>80694.800110212193</v>
      </c>
      <c r="E215" s="570">
        <v>85068.009115651003</v>
      </c>
      <c r="F215" s="570">
        <v>80694.800110212193</v>
      </c>
      <c r="G215" s="287"/>
      <c r="H215" s="287"/>
      <c r="I215" s="305"/>
      <c r="J215" s="305"/>
    </row>
    <row r="216" spans="1:10" x14ac:dyDescent="0.3">
      <c r="A216" s="306" t="s">
        <v>38</v>
      </c>
      <c r="B216" s="311" t="s">
        <v>31</v>
      </c>
      <c r="C216" s="573">
        <v>84151.427299503455</v>
      </c>
      <c r="D216" s="574">
        <v>82077.220000000016</v>
      </c>
      <c r="E216" s="570">
        <v>84151.427299503455</v>
      </c>
      <c r="F216" s="570">
        <v>82077.220000000016</v>
      </c>
      <c r="G216" s="287"/>
      <c r="H216" s="287"/>
      <c r="I216" s="305"/>
      <c r="J216" s="305"/>
    </row>
    <row r="217" spans="1:10" x14ac:dyDescent="0.3">
      <c r="A217" s="306" t="s">
        <v>38</v>
      </c>
      <c r="B217" s="311" t="s">
        <v>32</v>
      </c>
      <c r="C217" s="573">
        <v>82594.337299503444</v>
      </c>
      <c r="D217" s="574">
        <v>80520.130000000019</v>
      </c>
      <c r="E217" s="570">
        <v>82594.337299503444</v>
      </c>
      <c r="F217" s="570">
        <v>80520.130000000019</v>
      </c>
      <c r="G217" s="287"/>
      <c r="H217" s="287"/>
      <c r="I217" s="305"/>
      <c r="J217" s="305"/>
    </row>
    <row r="218" spans="1:10" x14ac:dyDescent="0.3">
      <c r="A218" s="306" t="s">
        <v>38</v>
      </c>
      <c r="B218" s="311" t="s">
        <v>33</v>
      </c>
      <c r="C218" s="573">
        <v>81688.959999999977</v>
      </c>
      <c r="D218" s="574">
        <v>81688.960000000006</v>
      </c>
      <c r="E218" s="570">
        <v>81688.959999999977</v>
      </c>
      <c r="F218" s="570">
        <v>81688.960000000006</v>
      </c>
      <c r="G218" s="287"/>
      <c r="H218" s="287"/>
      <c r="I218" s="305"/>
      <c r="J218" s="305"/>
    </row>
    <row r="219" spans="1:10" ht="16.2" thickBot="1" x14ac:dyDescent="0.35">
      <c r="A219" s="308" t="s">
        <v>38</v>
      </c>
      <c r="B219" s="312" t="s">
        <v>34</v>
      </c>
      <c r="C219" s="575">
        <v>82110.303847000003</v>
      </c>
      <c r="D219" s="576">
        <v>81688.959999999977</v>
      </c>
      <c r="E219" s="570">
        <v>82110.303847000003</v>
      </c>
      <c r="F219" s="570">
        <v>81688.959999999977</v>
      </c>
      <c r="G219" s="287"/>
      <c r="H219" s="287"/>
      <c r="I219" s="305"/>
      <c r="J219" s="305"/>
    </row>
    <row r="220" spans="1:10" x14ac:dyDescent="0.3">
      <c r="A220" s="5" t="s">
        <v>39</v>
      </c>
    </row>
    <row r="221" spans="1:10" ht="16.2" thickBot="1" x14ac:dyDescent="0.35">
      <c r="A221" s="147" t="s">
        <v>95</v>
      </c>
    </row>
    <row r="222" spans="1:10" ht="16.2" thickBot="1" x14ac:dyDescent="0.35">
      <c r="A222" s="313"/>
      <c r="B222" s="270" t="s">
        <v>40</v>
      </c>
      <c r="C222" s="271" t="s">
        <v>41</v>
      </c>
      <c r="E222" s="314"/>
      <c r="F222" s="314"/>
    </row>
    <row r="223" spans="1:10" x14ac:dyDescent="0.3">
      <c r="A223" s="243" t="s">
        <v>27</v>
      </c>
      <c r="B223" s="213">
        <v>250</v>
      </c>
      <c r="C223" s="258">
        <v>200</v>
      </c>
      <c r="D223" s="315"/>
      <c r="E223" s="314"/>
      <c r="F223" s="314"/>
    </row>
    <row r="224" spans="1:10" x14ac:dyDescent="0.3">
      <c r="A224" s="246" t="s">
        <v>36</v>
      </c>
      <c r="B224" s="220">
        <v>5000</v>
      </c>
      <c r="C224" s="260">
        <v>4000</v>
      </c>
    </row>
    <row r="225" spans="1:7" x14ac:dyDescent="0.3">
      <c r="A225" s="246" t="s">
        <v>37</v>
      </c>
      <c r="B225" s="220">
        <v>5000</v>
      </c>
      <c r="C225" s="260">
        <v>4000</v>
      </c>
    </row>
    <row r="226" spans="1:7" ht="16.2" thickBot="1" x14ac:dyDescent="0.35">
      <c r="A226" s="249" t="s">
        <v>38</v>
      </c>
      <c r="B226" s="226">
        <v>5000</v>
      </c>
      <c r="C226" s="261">
        <v>4000</v>
      </c>
    </row>
    <row r="227" spans="1:7" x14ac:dyDescent="0.3">
      <c r="G227" s="219"/>
    </row>
    <row r="228" spans="1:7" ht="16.2" thickBot="1" x14ac:dyDescent="0.35">
      <c r="A228" s="147" t="s">
        <v>215</v>
      </c>
      <c r="G228" s="219"/>
    </row>
    <row r="229" spans="1:7" ht="16.2" thickBot="1" x14ac:dyDescent="0.35">
      <c r="A229" s="313"/>
      <c r="B229" s="270" t="s">
        <v>41</v>
      </c>
      <c r="C229" s="271" t="s">
        <v>40</v>
      </c>
    </row>
    <row r="230" spans="1:7" x14ac:dyDescent="0.3">
      <c r="A230" s="243" t="s">
        <v>27</v>
      </c>
      <c r="B230" s="316">
        <v>50</v>
      </c>
      <c r="C230" s="317">
        <v>8436.4</v>
      </c>
      <c r="D230" s="181"/>
      <c r="G230" s="219"/>
    </row>
    <row r="231" spans="1:7" x14ac:dyDescent="0.3">
      <c r="A231" s="246" t="s">
        <v>36</v>
      </c>
      <c r="B231" s="318">
        <v>0</v>
      </c>
      <c r="C231" s="319">
        <v>0</v>
      </c>
      <c r="G231" s="219"/>
    </row>
    <row r="232" spans="1:7" x14ac:dyDescent="0.3">
      <c r="A232" s="246" t="s">
        <v>37</v>
      </c>
      <c r="B232" s="318">
        <v>0</v>
      </c>
      <c r="C232" s="319">
        <v>0</v>
      </c>
      <c r="G232" s="219"/>
    </row>
    <row r="233" spans="1:7" ht="16.2" thickBot="1" x14ac:dyDescent="0.35">
      <c r="A233" s="249" t="s">
        <v>38</v>
      </c>
      <c r="B233" s="577">
        <v>12.7</v>
      </c>
      <c r="C233" s="320">
        <v>14.3</v>
      </c>
      <c r="G233" s="219"/>
    </row>
    <row r="234" spans="1:7" x14ac:dyDescent="0.3">
      <c r="A234" s="5" t="s">
        <v>223</v>
      </c>
      <c r="G234" s="219"/>
    </row>
    <row r="235" spans="1:7" ht="16.2" thickBot="1" x14ac:dyDescent="0.35">
      <c r="A235" s="147" t="s">
        <v>97</v>
      </c>
      <c r="G235" s="219"/>
    </row>
    <row r="236" spans="1:7" ht="16.2" thickBot="1" x14ac:dyDescent="0.35">
      <c r="A236" s="270"/>
      <c r="B236" s="271" t="s">
        <v>27</v>
      </c>
    </row>
    <row r="237" spans="1:7" x14ac:dyDescent="0.3">
      <c r="A237" s="220" t="s">
        <v>27</v>
      </c>
      <c r="B237" s="246">
        <v>1</v>
      </c>
      <c r="G237" s="219"/>
    </row>
    <row r="238" spans="1:7" x14ac:dyDescent="0.3">
      <c r="A238" s="220" t="s">
        <v>36</v>
      </c>
      <c r="B238" s="246">
        <v>0</v>
      </c>
      <c r="G238" s="219"/>
    </row>
    <row r="239" spans="1:7" x14ac:dyDescent="0.3">
      <c r="A239" s="220" t="s">
        <v>37</v>
      </c>
      <c r="B239" s="246">
        <v>0</v>
      </c>
      <c r="G239" s="219"/>
    </row>
    <row r="240" spans="1:7" ht="16.2" thickBot="1" x14ac:dyDescent="0.35">
      <c r="A240" s="226" t="s">
        <v>38</v>
      </c>
      <c r="B240" s="249">
        <v>0</v>
      </c>
      <c r="G240" s="219"/>
    </row>
    <row r="241" spans="1:11" x14ac:dyDescent="0.3">
      <c r="G241" s="219"/>
    </row>
    <row r="242" spans="1:11" ht="16.2" thickBot="1" x14ac:dyDescent="0.35">
      <c r="A242" s="147" t="s">
        <v>98</v>
      </c>
      <c r="G242" s="219"/>
    </row>
    <row r="243" spans="1:11" ht="16.2" thickBot="1" x14ac:dyDescent="0.35">
      <c r="A243" s="313"/>
      <c r="B243" s="321" t="s">
        <v>36</v>
      </c>
      <c r="C243" s="321" t="s">
        <v>37</v>
      </c>
      <c r="D243" s="233" t="s">
        <v>38</v>
      </c>
    </row>
    <row r="244" spans="1:11" x14ac:dyDescent="0.3">
      <c r="A244" s="246" t="s">
        <v>27</v>
      </c>
      <c r="B244" s="223">
        <v>0</v>
      </c>
      <c r="C244" s="223">
        <v>0</v>
      </c>
      <c r="D244" s="260">
        <v>0</v>
      </c>
      <c r="G244" s="219"/>
    </row>
    <row r="245" spans="1:11" x14ac:dyDescent="0.3">
      <c r="A245" s="246" t="s">
        <v>36</v>
      </c>
      <c r="B245" s="223">
        <v>1</v>
      </c>
      <c r="C245" s="223">
        <v>0</v>
      </c>
      <c r="D245" s="260">
        <v>0</v>
      </c>
      <c r="G245" s="219"/>
    </row>
    <row r="246" spans="1:11" x14ac:dyDescent="0.3">
      <c r="A246" s="246" t="s">
        <v>37</v>
      </c>
      <c r="B246" s="223">
        <v>0</v>
      </c>
      <c r="C246" s="223">
        <v>1</v>
      </c>
      <c r="D246" s="260">
        <v>0</v>
      </c>
      <c r="G246" s="219"/>
    </row>
    <row r="247" spans="1:11" ht="16.2" thickBot="1" x14ac:dyDescent="0.35">
      <c r="A247" s="249" t="s">
        <v>38</v>
      </c>
      <c r="B247" s="229">
        <v>0</v>
      </c>
      <c r="C247" s="229">
        <v>0</v>
      </c>
      <c r="D247" s="261">
        <v>1</v>
      </c>
      <c r="G247" s="219"/>
    </row>
    <row r="248" spans="1:11" x14ac:dyDescent="0.3">
      <c r="G248" s="219"/>
    </row>
    <row r="249" spans="1:11" ht="16.2" thickBot="1" x14ac:dyDescent="0.35">
      <c r="A249" s="147" t="s">
        <v>99</v>
      </c>
      <c r="G249" s="219"/>
    </row>
    <row r="250" spans="1:11" ht="16.2" thickBot="1" x14ac:dyDescent="0.35">
      <c r="A250" s="232"/>
      <c r="B250" s="233"/>
      <c r="C250" s="270" t="s">
        <v>42</v>
      </c>
      <c r="D250" s="271" t="s">
        <v>43</v>
      </c>
      <c r="E250" s="271" t="s">
        <v>44</v>
      </c>
    </row>
    <row r="251" spans="1:11" x14ac:dyDescent="0.3">
      <c r="A251" s="243" t="s">
        <v>28</v>
      </c>
      <c r="B251" s="258" t="s">
        <v>29</v>
      </c>
      <c r="C251" s="213">
        <v>295</v>
      </c>
      <c r="D251" s="216">
        <v>0</v>
      </c>
      <c r="E251" s="258">
        <v>1</v>
      </c>
      <c r="G251" s="219" t="s">
        <v>45</v>
      </c>
      <c r="K251" s="7" t="s">
        <v>192</v>
      </c>
    </row>
    <row r="252" spans="1:11" x14ac:dyDescent="0.3">
      <c r="A252" s="246" t="s">
        <v>28</v>
      </c>
      <c r="B252" s="260" t="s">
        <v>46</v>
      </c>
      <c r="C252" s="220">
        <v>398</v>
      </c>
      <c r="D252" s="223">
        <v>0</v>
      </c>
      <c r="E252" s="260">
        <v>1</v>
      </c>
      <c r="G252" s="219" t="s">
        <v>47</v>
      </c>
      <c r="K252" s="7" t="s">
        <v>193</v>
      </c>
    </row>
    <row r="253" spans="1:11" x14ac:dyDescent="0.3">
      <c r="A253" s="246" t="s">
        <v>29</v>
      </c>
      <c r="B253" s="260" t="s">
        <v>30</v>
      </c>
      <c r="C253" s="220">
        <v>314</v>
      </c>
      <c r="D253" s="223">
        <v>0</v>
      </c>
      <c r="E253" s="260">
        <v>1</v>
      </c>
      <c r="G253" s="219" t="s">
        <v>48</v>
      </c>
      <c r="K253" s="7">
        <f>(200*21300/25)/1720</f>
        <v>99.069767441860463</v>
      </c>
    </row>
    <row r="254" spans="1:11" x14ac:dyDescent="0.3">
      <c r="A254" s="246" t="s">
        <v>29</v>
      </c>
      <c r="B254" s="260" t="s">
        <v>33</v>
      </c>
      <c r="C254" s="220">
        <v>103</v>
      </c>
      <c r="D254" s="223">
        <v>1731</v>
      </c>
      <c r="E254" s="260">
        <v>1</v>
      </c>
      <c r="G254" s="219" t="s">
        <v>49</v>
      </c>
      <c r="K254" s="322">
        <f>(200*21300/25000)/1720</f>
        <v>9.9069767441860468E-2</v>
      </c>
    </row>
    <row r="255" spans="1:11" x14ac:dyDescent="0.3">
      <c r="A255" s="246" t="s">
        <v>29</v>
      </c>
      <c r="B255" s="260" t="s">
        <v>34</v>
      </c>
      <c r="C255" s="220">
        <v>103</v>
      </c>
      <c r="D255" s="223">
        <v>1877</v>
      </c>
      <c r="E255" s="260">
        <v>1</v>
      </c>
      <c r="G255" s="219" t="s">
        <v>50</v>
      </c>
      <c r="K255" s="259">
        <f>K254*3*1.1</f>
        <v>0.32693023255813958</v>
      </c>
    </row>
    <row r="256" spans="1:11" x14ac:dyDescent="0.3">
      <c r="A256" s="246" t="s">
        <v>29</v>
      </c>
      <c r="B256" s="260" t="s">
        <v>46</v>
      </c>
      <c r="C256" s="220">
        <v>103</v>
      </c>
      <c r="D256" s="223">
        <v>0</v>
      </c>
      <c r="E256" s="260">
        <v>1</v>
      </c>
      <c r="G256" s="219" t="s">
        <v>51</v>
      </c>
    </row>
    <row r="257" spans="1:20" x14ac:dyDescent="0.3">
      <c r="A257" s="246" t="s">
        <v>30</v>
      </c>
      <c r="B257" s="260" t="s">
        <v>31</v>
      </c>
      <c r="C257" s="220">
        <v>765</v>
      </c>
      <c r="D257" s="223">
        <v>0</v>
      </c>
      <c r="E257" s="260">
        <v>1</v>
      </c>
      <c r="G257" s="219" t="s">
        <v>52</v>
      </c>
    </row>
    <row r="258" spans="1:20" x14ac:dyDescent="0.3">
      <c r="A258" s="246" t="s">
        <v>30</v>
      </c>
      <c r="B258" s="260" t="s">
        <v>46</v>
      </c>
      <c r="C258" s="220">
        <v>417</v>
      </c>
      <c r="D258" s="223">
        <v>0</v>
      </c>
      <c r="E258" s="260">
        <v>1</v>
      </c>
      <c r="G258" s="219" t="s">
        <v>53</v>
      </c>
    </row>
    <row r="259" spans="1:20" x14ac:dyDescent="0.3">
      <c r="A259" s="246" t="s">
        <v>31</v>
      </c>
      <c r="B259" s="260" t="s">
        <v>32</v>
      </c>
      <c r="C259" s="220">
        <v>375</v>
      </c>
      <c r="D259" s="223">
        <v>0</v>
      </c>
      <c r="E259" s="260">
        <v>1</v>
      </c>
      <c r="G259" s="219" t="s">
        <v>54</v>
      </c>
    </row>
    <row r="260" spans="1:20" x14ac:dyDescent="0.3">
      <c r="A260" s="246" t="s">
        <v>31</v>
      </c>
      <c r="B260" s="260" t="s">
        <v>33</v>
      </c>
      <c r="C260" s="220">
        <v>686</v>
      </c>
      <c r="D260" s="223">
        <v>0</v>
      </c>
      <c r="E260" s="260">
        <v>1</v>
      </c>
      <c r="G260" s="219" t="s">
        <v>55</v>
      </c>
    </row>
    <row r="261" spans="1:20" x14ac:dyDescent="0.3">
      <c r="A261" s="246" t="s">
        <v>31</v>
      </c>
      <c r="B261" s="260" t="s">
        <v>34</v>
      </c>
      <c r="C261" s="220">
        <v>864</v>
      </c>
      <c r="D261" s="223">
        <v>0</v>
      </c>
      <c r="E261" s="260">
        <v>1</v>
      </c>
      <c r="G261" s="219" t="s">
        <v>56</v>
      </c>
    </row>
    <row r="262" spans="1:20" x14ac:dyDescent="0.3">
      <c r="A262" s="246" t="s">
        <v>31</v>
      </c>
      <c r="B262" s="260" t="s">
        <v>46</v>
      </c>
      <c r="C262" s="220">
        <v>686</v>
      </c>
      <c r="D262" s="223">
        <v>0</v>
      </c>
      <c r="E262" s="260">
        <v>1</v>
      </c>
      <c r="G262" s="219" t="s">
        <v>55</v>
      </c>
    </row>
    <row r="263" spans="1:20" x14ac:dyDescent="0.3">
      <c r="A263" s="246" t="s">
        <v>32</v>
      </c>
      <c r="B263" s="260" t="s">
        <v>33</v>
      </c>
      <c r="C263" s="220">
        <v>353</v>
      </c>
      <c r="D263" s="223">
        <v>0</v>
      </c>
      <c r="E263" s="260">
        <v>1</v>
      </c>
      <c r="G263" s="219" t="s">
        <v>57</v>
      </c>
    </row>
    <row r="264" spans="1:20" x14ac:dyDescent="0.3">
      <c r="A264" s="246" t="s">
        <v>32</v>
      </c>
      <c r="B264" s="260" t="s">
        <v>46</v>
      </c>
      <c r="C264" s="220">
        <v>353</v>
      </c>
      <c r="D264" s="223">
        <v>0</v>
      </c>
      <c r="E264" s="260">
        <v>1</v>
      </c>
      <c r="G264" s="219" t="s">
        <v>58</v>
      </c>
    </row>
    <row r="265" spans="1:20" x14ac:dyDescent="0.3">
      <c r="A265" s="246" t="s">
        <v>33</v>
      </c>
      <c r="B265" s="260" t="s">
        <v>34</v>
      </c>
      <c r="C265" s="220">
        <v>0</v>
      </c>
      <c r="D265" s="223">
        <v>207</v>
      </c>
      <c r="E265" s="260">
        <v>1</v>
      </c>
      <c r="G265" s="219" t="s">
        <v>59</v>
      </c>
    </row>
    <row r="266" spans="1:20" x14ac:dyDescent="0.3">
      <c r="A266" s="246" t="s">
        <v>33</v>
      </c>
      <c r="B266" s="260" t="s">
        <v>46</v>
      </c>
      <c r="C266" s="220">
        <v>20</v>
      </c>
      <c r="D266" s="223">
        <v>0</v>
      </c>
      <c r="E266" s="260">
        <v>1</v>
      </c>
      <c r="G266" s="219" t="s">
        <v>60</v>
      </c>
    </row>
    <row r="267" spans="1:20" ht="16.2" thickBot="1" x14ac:dyDescent="0.35">
      <c r="A267" s="249" t="s">
        <v>34</v>
      </c>
      <c r="B267" s="261" t="s">
        <v>46</v>
      </c>
      <c r="C267" s="226">
        <v>20</v>
      </c>
      <c r="D267" s="229">
        <v>0</v>
      </c>
      <c r="E267" s="261">
        <v>1</v>
      </c>
      <c r="G267" s="219"/>
    </row>
    <row r="268" spans="1:20" ht="16.2" thickBot="1" x14ac:dyDescent="0.35">
      <c r="G268" s="219"/>
    </row>
    <row r="269" spans="1:20" ht="16.2" thickBot="1" x14ac:dyDescent="0.35">
      <c r="A269" s="147" t="s">
        <v>216</v>
      </c>
      <c r="F269" s="472" t="s">
        <v>202</v>
      </c>
      <c r="G269" s="323"/>
      <c r="H269" s="473"/>
      <c r="I269" s="593" t="s">
        <v>201</v>
      </c>
      <c r="L269" s="259"/>
      <c r="M269" s="259"/>
      <c r="N269" s="259"/>
      <c r="O269" s="259"/>
      <c r="P269" s="259"/>
      <c r="Q269" s="259"/>
      <c r="R269" s="259"/>
      <c r="S269" s="259"/>
      <c r="T269" s="259"/>
    </row>
    <row r="270" spans="1:20" ht="16.2" thickBot="1" x14ac:dyDescent="0.35">
      <c r="A270" s="72"/>
      <c r="B270" s="271" t="s">
        <v>25</v>
      </c>
      <c r="C270" s="271" t="s">
        <v>26</v>
      </c>
      <c r="D270" s="155" t="s">
        <v>185</v>
      </c>
      <c r="F270" s="324" t="s">
        <v>25</v>
      </c>
      <c r="G270" s="325" t="s">
        <v>26</v>
      </c>
      <c r="H270" s="172" t="s">
        <v>185</v>
      </c>
      <c r="I270" s="595"/>
      <c r="L270" s="259"/>
      <c r="M270" s="259"/>
      <c r="N270" s="259"/>
      <c r="O270" s="259"/>
      <c r="P270" s="259"/>
      <c r="Q270" s="259"/>
      <c r="R270" s="259"/>
      <c r="S270" s="259"/>
      <c r="T270" s="259"/>
    </row>
    <row r="271" spans="1:20" x14ac:dyDescent="0.3">
      <c r="A271" s="243" t="s">
        <v>28</v>
      </c>
      <c r="B271" s="282">
        <v>52.421999999999997</v>
      </c>
      <c r="C271" s="282">
        <v>24.454999999999998</v>
      </c>
      <c r="D271" s="326">
        <f>(B271*B281+C271*C281)/D281</f>
        <v>29.651263503839644</v>
      </c>
      <c r="F271" s="327">
        <f t="shared" ref="F271:G277" si="43">B271*(1+B305)^7</f>
        <v>68.844602053655876</v>
      </c>
      <c r="G271" s="327">
        <f t="shared" si="43"/>
        <v>32.858617355233818</v>
      </c>
      <c r="H271" s="178">
        <f t="shared" ref="H271:H278" si="44">(F271*F281+G271*G281)/H281</f>
        <v>40.156264538389152</v>
      </c>
      <c r="I271" s="328">
        <f t="shared" ref="I271:I278" si="45">(H271/D271)^(1/7)*100-100</f>
        <v>4.4277038565678311</v>
      </c>
      <c r="J271" s="259"/>
      <c r="L271" s="259"/>
      <c r="M271" s="259"/>
      <c r="N271" s="259"/>
      <c r="O271" s="259"/>
      <c r="P271" s="259"/>
      <c r="Q271" s="259"/>
      <c r="R271" s="259"/>
      <c r="S271" s="259"/>
      <c r="T271" s="259"/>
    </row>
    <row r="272" spans="1:20" x14ac:dyDescent="0.3">
      <c r="A272" s="246" t="s">
        <v>29</v>
      </c>
      <c r="B272" s="282">
        <v>79.706000000000003</v>
      </c>
      <c r="C272" s="282">
        <v>43.927</v>
      </c>
      <c r="D272" s="326">
        <f t="shared" ref="D272:D277" si="46">(B272*B282+C272*C282)/D282</f>
        <v>58.393286640329393</v>
      </c>
      <c r="F272" s="327">
        <f t="shared" si="43"/>
        <v>106.09371670100164</v>
      </c>
      <c r="G272" s="327">
        <f t="shared" si="43"/>
        <v>63.308478727485358</v>
      </c>
      <c r="H272" s="179">
        <f t="shared" si="44"/>
        <v>83.943353934491924</v>
      </c>
      <c r="I272" s="329">
        <f t="shared" si="45"/>
        <v>5.3216436746821927</v>
      </c>
      <c r="J272" s="259"/>
      <c r="L272" s="259"/>
      <c r="M272" s="259"/>
      <c r="N272" s="259"/>
      <c r="O272" s="259"/>
      <c r="P272" s="259"/>
      <c r="Q272" s="259"/>
      <c r="R272" s="259"/>
      <c r="S272" s="259"/>
      <c r="T272" s="259"/>
    </row>
    <row r="273" spans="1:20" x14ac:dyDescent="0.3">
      <c r="A273" s="246" t="s">
        <v>30</v>
      </c>
      <c r="B273" s="282">
        <v>50.493000000000002</v>
      </c>
      <c r="C273" s="282">
        <v>29.582999999999998</v>
      </c>
      <c r="D273" s="326">
        <f>(B273*B283+C273*C283)/D283</f>
        <v>34.022550334438762</v>
      </c>
      <c r="F273" s="327">
        <f t="shared" si="43"/>
        <v>68.484183918887993</v>
      </c>
      <c r="G273" s="327">
        <f t="shared" si="43"/>
        <v>45.251282725148329</v>
      </c>
      <c r="H273" s="179">
        <f t="shared" si="44"/>
        <v>51.062673683647553</v>
      </c>
      <c r="I273" s="329">
        <f t="shared" si="45"/>
        <v>5.9719571283532389</v>
      </c>
      <c r="J273" s="259"/>
      <c r="L273" s="259"/>
      <c r="M273" s="259"/>
      <c r="N273" s="259"/>
      <c r="O273" s="259"/>
      <c r="P273" s="259"/>
      <c r="Q273" s="259"/>
      <c r="R273" s="259"/>
      <c r="S273" s="259"/>
      <c r="T273" s="259"/>
    </row>
    <row r="274" spans="1:20" x14ac:dyDescent="0.3">
      <c r="A274" s="246" t="s">
        <v>31</v>
      </c>
      <c r="B274" s="282">
        <v>55.149000000000001</v>
      </c>
      <c r="C274" s="282">
        <v>31.248999999999999</v>
      </c>
      <c r="D274" s="326">
        <f t="shared" si="46"/>
        <v>40.192490402140194</v>
      </c>
      <c r="F274" s="327">
        <f t="shared" si="43"/>
        <v>76.469174285725217</v>
      </c>
      <c r="G274" s="327">
        <f t="shared" si="43"/>
        <v>43.300681473727984</v>
      </c>
      <c r="H274" s="179">
        <f t="shared" si="44"/>
        <v>56.447570255964763</v>
      </c>
      <c r="I274" s="329">
        <f t="shared" si="45"/>
        <v>4.9715177509761475</v>
      </c>
      <c r="J274" s="259"/>
      <c r="L274" s="259"/>
      <c r="M274" s="259"/>
      <c r="N274" s="259"/>
      <c r="O274" s="259"/>
      <c r="P274" s="259"/>
      <c r="Q274" s="259"/>
      <c r="R274" s="259"/>
      <c r="S274" s="259"/>
      <c r="T274" s="259"/>
    </row>
    <row r="275" spans="1:20" x14ac:dyDescent="0.3">
      <c r="A275" s="246" t="s">
        <v>32</v>
      </c>
      <c r="B275" s="282">
        <v>53.423000000000002</v>
      </c>
      <c r="C275" s="282">
        <v>26.891999999999999</v>
      </c>
      <c r="D275" s="326">
        <f t="shared" si="46"/>
        <v>34.738910763256058</v>
      </c>
      <c r="F275" s="327">
        <f t="shared" si="43"/>
        <v>73.878192145918504</v>
      </c>
      <c r="G275" s="327">
        <f t="shared" si="43"/>
        <v>33.254006070887804</v>
      </c>
      <c r="H275" s="179">
        <f t="shared" si="44"/>
        <v>45.577499987510812</v>
      </c>
      <c r="I275" s="329">
        <f t="shared" si="45"/>
        <v>3.9555684366157493</v>
      </c>
      <c r="J275" s="259"/>
      <c r="L275" s="259"/>
      <c r="M275" s="259"/>
      <c r="N275" s="259"/>
      <c r="O275" s="259"/>
      <c r="P275" s="259"/>
      <c r="Q275" s="259"/>
      <c r="R275" s="259"/>
      <c r="S275" s="259"/>
      <c r="T275" s="259"/>
    </row>
    <row r="276" spans="1:20" x14ac:dyDescent="0.3">
      <c r="A276" s="246" t="s">
        <v>33</v>
      </c>
      <c r="B276" s="282">
        <v>78.409000000000006</v>
      </c>
      <c r="C276" s="282">
        <v>52.235999999999997</v>
      </c>
      <c r="D276" s="326">
        <f t="shared" si="46"/>
        <v>68.732334069332268</v>
      </c>
      <c r="F276" s="327">
        <f t="shared" si="43"/>
        <v>97.685297218719015</v>
      </c>
      <c r="G276" s="327">
        <f t="shared" si="43"/>
        <v>62.007429813121249</v>
      </c>
      <c r="H276" s="179">
        <f t="shared" si="44"/>
        <v>85.938609955215213</v>
      </c>
      <c r="I276" s="329">
        <f t="shared" si="45"/>
        <v>3.2430992677843165</v>
      </c>
      <c r="J276" s="259"/>
      <c r="L276" s="259"/>
      <c r="M276" s="259"/>
      <c r="N276" s="259"/>
      <c r="O276" s="259"/>
      <c r="P276" s="259"/>
      <c r="Q276" s="259"/>
      <c r="R276" s="259"/>
      <c r="S276" s="259"/>
      <c r="T276" s="259"/>
    </row>
    <row r="277" spans="1:20" ht="16.2" thickBot="1" x14ac:dyDescent="0.35">
      <c r="A277" s="249" t="s">
        <v>34</v>
      </c>
      <c r="B277" s="284">
        <v>50.595999999999997</v>
      </c>
      <c r="C277" s="284">
        <v>40.543999999999997</v>
      </c>
      <c r="D277" s="330">
        <f t="shared" si="46"/>
        <v>43.113301746168148</v>
      </c>
      <c r="F277" s="327">
        <f t="shared" si="43"/>
        <v>65.822771117257417</v>
      </c>
      <c r="G277" s="327">
        <f t="shared" si="43"/>
        <v>59.48912097438798</v>
      </c>
      <c r="H277" s="180">
        <f t="shared" si="44"/>
        <v>61.202984735717301</v>
      </c>
      <c r="I277" s="331">
        <f t="shared" si="45"/>
        <v>5.1325821540772836</v>
      </c>
      <c r="J277" s="259"/>
      <c r="M277" s="259"/>
      <c r="N277" s="259"/>
      <c r="O277" s="259"/>
      <c r="P277" s="259"/>
      <c r="Q277" s="259"/>
      <c r="R277" s="259"/>
      <c r="S277" s="259"/>
      <c r="T277" s="259"/>
    </row>
    <row r="278" spans="1:20" ht="16.2" thickBot="1" x14ac:dyDescent="0.35">
      <c r="A278" s="5" t="s">
        <v>61</v>
      </c>
      <c r="B278" s="176">
        <f>SUMPRODUCT(B271:B277,B281:B287)/B288</f>
        <v>67.680742361809038</v>
      </c>
      <c r="C278" s="176">
        <f>SUMPRODUCT(C271:C277,C281:C287)/C288</f>
        <v>36.484814908935491</v>
      </c>
      <c r="D278" s="177">
        <f>(B278*B288+C278*C288)/D288</f>
        <v>47.633043689392174</v>
      </c>
      <c r="F278" s="176">
        <f>SUMPRODUCT(F271:F277,F281:F287)/F288</f>
        <v>89.122974228780748</v>
      </c>
      <c r="G278" s="176">
        <f>SUMPRODUCT(G271:G277,G281:G287)/G288</f>
        <v>50.518191723255761</v>
      </c>
      <c r="H278" s="177">
        <f t="shared" si="44"/>
        <v>65.931418470473091</v>
      </c>
      <c r="I278" s="174">
        <f t="shared" si="45"/>
        <v>4.7536477943060902</v>
      </c>
    </row>
    <row r="279" spans="1:20" ht="16.2" thickBot="1" x14ac:dyDescent="0.35">
      <c r="A279" s="147" t="s">
        <v>210</v>
      </c>
      <c r="F279" s="472" t="s">
        <v>199</v>
      </c>
      <c r="G279" s="323"/>
      <c r="H279" s="473"/>
      <c r="I279" s="593" t="s">
        <v>200</v>
      </c>
      <c r="J279" s="593" t="s">
        <v>198</v>
      </c>
      <c r="L279" s="591" t="s">
        <v>203</v>
      </c>
      <c r="M279" s="592"/>
    </row>
    <row r="280" spans="1:20" ht="16.2" thickBot="1" x14ac:dyDescent="0.35">
      <c r="A280" s="72"/>
      <c r="B280" s="271" t="s">
        <v>25</v>
      </c>
      <c r="C280" s="271" t="s">
        <v>26</v>
      </c>
      <c r="D280" s="155" t="s">
        <v>185</v>
      </c>
      <c r="F280" s="324" t="s">
        <v>25</v>
      </c>
      <c r="G280" s="325" t="s">
        <v>26</v>
      </c>
      <c r="H280" s="172" t="s">
        <v>185</v>
      </c>
      <c r="I280" s="594"/>
      <c r="J280" s="594"/>
      <c r="L280" s="472" t="s">
        <v>25</v>
      </c>
      <c r="M280" s="332" t="s">
        <v>26</v>
      </c>
    </row>
    <row r="281" spans="1:20" x14ac:dyDescent="0.3">
      <c r="A281" s="243" t="s">
        <v>28</v>
      </c>
      <c r="B281" s="333">
        <v>2284</v>
      </c>
      <c r="C281" s="319">
        <v>10008.799999999999</v>
      </c>
      <c r="D281" s="334">
        <f>C281+B281</f>
        <v>12292.8</v>
      </c>
      <c r="F281" s="335">
        <f t="shared" ref="F281:G287" si="47">B281*(1+B315)^7</f>
        <v>2680.1086862947068</v>
      </c>
      <c r="G281" s="336">
        <f t="shared" si="47"/>
        <v>10535.979698702855</v>
      </c>
      <c r="H281" s="167">
        <f t="shared" ref="H281:H288" si="48">G281+F281</f>
        <v>13216.088384997562</v>
      </c>
      <c r="I281" s="337">
        <f t="shared" ref="I281:I288" si="49">(H281/D281)^(1/7)*100-100</f>
        <v>1.0399586453877134</v>
      </c>
      <c r="J281" s="338">
        <f t="shared" ref="J281:J288" si="50">F281/H281*100</f>
        <v>20.279137126058206</v>
      </c>
      <c r="L281" s="339">
        <f t="shared" ref="L281:M288" si="51">ROUND((B281+F281)/($D281+$H281),3)</f>
        <v>0.19500000000000001</v>
      </c>
      <c r="M281" s="340">
        <f t="shared" si="51"/>
        <v>0.80500000000000005</v>
      </c>
      <c r="N281" s="295"/>
    </row>
    <row r="282" spans="1:20" x14ac:dyDescent="0.3">
      <c r="A282" s="246" t="s">
        <v>29</v>
      </c>
      <c r="B282" s="341">
        <v>8719.7999999999993</v>
      </c>
      <c r="C282" s="319">
        <v>12846.600000000002</v>
      </c>
      <c r="D282" s="342">
        <f t="shared" ref="D282:D287" si="52">C282+B282</f>
        <v>21566.400000000001</v>
      </c>
      <c r="F282" s="335">
        <f t="shared" si="47"/>
        <v>11454.596324425811</v>
      </c>
      <c r="G282" s="336">
        <f t="shared" si="47"/>
        <v>12295.856475245786</v>
      </c>
      <c r="H282" s="167">
        <f t="shared" si="48"/>
        <v>23750.452799671599</v>
      </c>
      <c r="I282" s="326">
        <f t="shared" si="49"/>
        <v>1.3876112900459248</v>
      </c>
      <c r="J282" s="343">
        <f t="shared" si="50"/>
        <v>48.228959763597409</v>
      </c>
      <c r="L282" s="344">
        <f t="shared" si="51"/>
        <v>0.44500000000000001</v>
      </c>
      <c r="M282" s="345">
        <f t="shared" si="51"/>
        <v>0.55500000000000005</v>
      </c>
      <c r="N282" s="295"/>
    </row>
    <row r="283" spans="1:20" x14ac:dyDescent="0.3">
      <c r="A283" s="246" t="s">
        <v>30</v>
      </c>
      <c r="B283" s="341">
        <v>2266.4</v>
      </c>
      <c r="C283" s="319">
        <v>8408.1999999999989</v>
      </c>
      <c r="D283" s="342">
        <f t="shared" si="52"/>
        <v>10674.599999999999</v>
      </c>
      <c r="F283" s="335">
        <f t="shared" si="47"/>
        <v>2801.4344952548227</v>
      </c>
      <c r="G283" s="336">
        <f t="shared" si="47"/>
        <v>8398.1993434909909</v>
      </c>
      <c r="H283" s="167">
        <f t="shared" si="48"/>
        <v>11199.633838745813</v>
      </c>
      <c r="I283" s="326">
        <f t="shared" si="49"/>
        <v>0.68827202389330466</v>
      </c>
      <c r="J283" s="343">
        <f t="shared" si="50"/>
        <v>25.013625763041382</v>
      </c>
      <c r="L283" s="344">
        <f t="shared" si="51"/>
        <v>0.23200000000000001</v>
      </c>
      <c r="M283" s="345">
        <f t="shared" si="51"/>
        <v>0.76800000000000002</v>
      </c>
      <c r="N283" s="295"/>
    </row>
    <row r="284" spans="1:20" x14ac:dyDescent="0.3">
      <c r="A284" s="246" t="s">
        <v>31</v>
      </c>
      <c r="B284" s="341">
        <v>3510.9</v>
      </c>
      <c r="C284" s="319">
        <v>5871.4000000000005</v>
      </c>
      <c r="D284" s="342">
        <f t="shared" si="52"/>
        <v>9382.3000000000011</v>
      </c>
      <c r="F284" s="335">
        <f t="shared" si="47"/>
        <v>3894.9424232345045</v>
      </c>
      <c r="G284" s="336">
        <f t="shared" si="47"/>
        <v>5931.6691734764263</v>
      </c>
      <c r="H284" s="167">
        <f t="shared" si="48"/>
        <v>9826.6115967109308</v>
      </c>
      <c r="I284" s="326">
        <f t="shared" si="49"/>
        <v>0.66317848261994072</v>
      </c>
      <c r="J284" s="343">
        <f t="shared" si="50"/>
        <v>39.636678268002193</v>
      </c>
      <c r="L284" s="344">
        <f t="shared" si="51"/>
        <v>0.38600000000000001</v>
      </c>
      <c r="M284" s="345">
        <f t="shared" si="51"/>
        <v>0.61399999999999999</v>
      </c>
      <c r="N284" s="295"/>
    </row>
    <row r="285" spans="1:20" x14ac:dyDescent="0.3">
      <c r="A285" s="246" t="s">
        <v>32</v>
      </c>
      <c r="B285" s="341">
        <v>1736.3999999999999</v>
      </c>
      <c r="C285" s="319">
        <v>4134.5</v>
      </c>
      <c r="D285" s="342">
        <f t="shared" si="52"/>
        <v>5870.9</v>
      </c>
      <c r="F285" s="335">
        <f t="shared" si="47"/>
        <v>1948.76882084932</v>
      </c>
      <c r="G285" s="336">
        <f t="shared" si="47"/>
        <v>4475.3141324934304</v>
      </c>
      <c r="H285" s="167">
        <f t="shared" si="48"/>
        <v>6424.0829533427504</v>
      </c>
      <c r="I285" s="326">
        <f t="shared" si="49"/>
        <v>1.294679989134579</v>
      </c>
      <c r="J285" s="343">
        <f t="shared" si="50"/>
        <v>30.335362027591572</v>
      </c>
      <c r="L285" s="344">
        <f t="shared" si="51"/>
        <v>0.3</v>
      </c>
      <c r="M285" s="345">
        <f t="shared" si="51"/>
        <v>0.7</v>
      </c>
      <c r="N285" s="295"/>
    </row>
    <row r="286" spans="1:20" x14ac:dyDescent="0.3">
      <c r="A286" s="246" t="s">
        <v>33</v>
      </c>
      <c r="B286" s="341">
        <v>10761.599999999999</v>
      </c>
      <c r="C286" s="319">
        <v>6312.7000000000007</v>
      </c>
      <c r="D286" s="342">
        <f t="shared" si="52"/>
        <v>17074.3</v>
      </c>
      <c r="F286" s="335">
        <f t="shared" si="47"/>
        <v>13062.781101994282</v>
      </c>
      <c r="G286" s="336">
        <f t="shared" si="47"/>
        <v>6411.9029435924804</v>
      </c>
      <c r="H286" s="167">
        <f t="shared" si="48"/>
        <v>19474.684045586764</v>
      </c>
      <c r="I286" s="326">
        <f t="shared" si="49"/>
        <v>1.8969238214302919</v>
      </c>
      <c r="J286" s="343">
        <f t="shared" si="50"/>
        <v>67.075702339594528</v>
      </c>
      <c r="L286" s="344">
        <f t="shared" si="51"/>
        <v>0.65200000000000002</v>
      </c>
      <c r="M286" s="345">
        <f t="shared" si="51"/>
        <v>0.34799999999999998</v>
      </c>
      <c r="N286" s="295"/>
    </row>
    <row r="287" spans="1:20" ht="16.2" thickBot="1" x14ac:dyDescent="0.35">
      <c r="A287" s="249" t="s">
        <v>34</v>
      </c>
      <c r="B287" s="346">
        <v>4550.8999999999987</v>
      </c>
      <c r="C287" s="320">
        <v>13253.8</v>
      </c>
      <c r="D287" s="347">
        <f t="shared" si="52"/>
        <v>17804.699999999997</v>
      </c>
      <c r="F287" s="348">
        <f t="shared" si="47"/>
        <v>4939.0091577491075</v>
      </c>
      <c r="G287" s="349">
        <f t="shared" si="47"/>
        <v>13313.291149568076</v>
      </c>
      <c r="H287" s="168">
        <f t="shared" si="48"/>
        <v>18252.300307317186</v>
      </c>
      <c r="I287" s="330">
        <f t="shared" si="49"/>
        <v>0.35532477182040623</v>
      </c>
      <c r="J287" s="343">
        <f t="shared" si="50"/>
        <v>27.059653164752621</v>
      </c>
      <c r="L287" s="350">
        <f t="shared" si="51"/>
        <v>0.26300000000000001</v>
      </c>
      <c r="M287" s="351">
        <f t="shared" si="51"/>
        <v>0.73699999999999999</v>
      </c>
      <c r="N287" s="295"/>
    </row>
    <row r="288" spans="1:20" ht="16.2" thickBot="1" x14ac:dyDescent="0.35">
      <c r="A288" s="5" t="s">
        <v>101</v>
      </c>
      <c r="B288" s="166">
        <f t="shared" ref="B288:C288" si="53">SUM(B281:B287)</f>
        <v>33830</v>
      </c>
      <c r="C288" s="166">
        <f t="shared" si="53"/>
        <v>60836</v>
      </c>
      <c r="D288" s="166">
        <f>SUM(D281:D287)</f>
        <v>94666</v>
      </c>
      <c r="F288" s="169">
        <f>SUM(F281:F287)</f>
        <v>40781.641009802552</v>
      </c>
      <c r="G288" s="170">
        <f>SUM(G281:G287)</f>
        <v>61362.212916570046</v>
      </c>
      <c r="H288" s="171">
        <f t="shared" si="48"/>
        <v>102143.8539263726</v>
      </c>
      <c r="I288" s="175">
        <f t="shared" si="49"/>
        <v>1.0920230167275236</v>
      </c>
      <c r="J288" s="173">
        <f t="shared" si="50"/>
        <v>39.925692483855954</v>
      </c>
      <c r="L288" s="352">
        <f t="shared" si="51"/>
        <v>0.379</v>
      </c>
      <c r="M288" s="353">
        <f t="shared" si="51"/>
        <v>0.621</v>
      </c>
      <c r="N288" s="126"/>
    </row>
    <row r="289" spans="1:15" x14ac:dyDescent="0.3">
      <c r="A289" s="5"/>
      <c r="B289" s="89"/>
      <c r="C289" s="89"/>
      <c r="D289" s="89"/>
      <c r="F289" s="196"/>
      <c r="G289" s="196"/>
      <c r="H289" s="196"/>
      <c r="I289" s="197"/>
      <c r="J289" s="198"/>
      <c r="L289" s="354"/>
      <c r="M289" s="354"/>
      <c r="N289" s="126"/>
    </row>
    <row r="290" spans="1:15" ht="16.2" thickBot="1" x14ac:dyDescent="0.35">
      <c r="A290" s="147" t="s">
        <v>195</v>
      </c>
    </row>
    <row r="291" spans="1:15" ht="16.2" thickBot="1" x14ac:dyDescent="0.35">
      <c r="A291" s="73"/>
      <c r="B291" s="242" t="s">
        <v>27</v>
      </c>
      <c r="D291" s="7" t="s">
        <v>236</v>
      </c>
    </row>
    <row r="292" spans="1:15" x14ac:dyDescent="0.3">
      <c r="A292" s="243" t="s">
        <v>36</v>
      </c>
      <c r="B292" s="355">
        <v>0.3</v>
      </c>
      <c r="D292" s="274">
        <v>0.3</v>
      </c>
    </row>
    <row r="293" spans="1:15" x14ac:dyDescent="0.3">
      <c r="A293" s="246" t="s">
        <v>37</v>
      </c>
      <c r="B293" s="356">
        <v>0.6</v>
      </c>
      <c r="D293" s="274">
        <v>0.85</v>
      </c>
    </row>
    <row r="294" spans="1:15" ht="16.2" thickBot="1" x14ac:dyDescent="0.35">
      <c r="A294" s="249" t="s">
        <v>38</v>
      </c>
      <c r="B294" s="357">
        <v>0.7</v>
      </c>
      <c r="D294" s="274">
        <v>0.9</v>
      </c>
    </row>
    <row r="296" spans="1:15" ht="16.2" thickBot="1" x14ac:dyDescent="0.35">
      <c r="A296" s="147" t="s">
        <v>110</v>
      </c>
      <c r="K296" s="354"/>
      <c r="M296" s="295"/>
      <c r="N296" s="295"/>
      <c r="O296" s="295"/>
    </row>
    <row r="297" spans="1:15" ht="16.2" thickBot="1" x14ac:dyDescent="0.35">
      <c r="A297" s="78"/>
      <c r="B297" s="271" t="s">
        <v>62</v>
      </c>
      <c r="C297" s="271" t="s">
        <v>63</v>
      </c>
      <c r="K297" s="354"/>
      <c r="M297" s="295"/>
      <c r="N297" s="295"/>
      <c r="O297" s="295"/>
    </row>
    <row r="298" spans="1:15" x14ac:dyDescent="0.3">
      <c r="A298" s="243" t="s">
        <v>27</v>
      </c>
      <c r="B298" s="359">
        <v>1.0876699999999999</v>
      </c>
      <c r="C298" s="360">
        <v>2.1240000000000001</v>
      </c>
      <c r="D298" s="181"/>
      <c r="K298" s="354"/>
      <c r="M298" s="295"/>
      <c r="N298" s="295"/>
      <c r="O298" s="295"/>
    </row>
    <row r="299" spans="1:15" x14ac:dyDescent="0.3">
      <c r="A299" s="246" t="s">
        <v>36</v>
      </c>
      <c r="B299" s="360">
        <v>1.0793699999999999</v>
      </c>
      <c r="C299" s="361"/>
      <c r="K299" s="354"/>
      <c r="M299" s="295"/>
      <c r="N299" s="295"/>
      <c r="O299" s="295"/>
    </row>
    <row r="300" spans="1:15" x14ac:dyDescent="0.3">
      <c r="A300" s="246" t="s">
        <v>37</v>
      </c>
      <c r="B300" s="360">
        <v>1.0793699999999999</v>
      </c>
      <c r="C300" s="361"/>
      <c r="K300" s="354"/>
      <c r="M300" s="295"/>
      <c r="N300" s="295"/>
      <c r="O300" s="295"/>
    </row>
    <row r="301" spans="1:15" ht="16.2" thickBot="1" x14ac:dyDescent="0.35">
      <c r="A301" s="249" t="s">
        <v>38</v>
      </c>
      <c r="B301" s="362">
        <v>1.0793699999999999</v>
      </c>
      <c r="C301" s="363"/>
      <c r="K301" s="354"/>
      <c r="M301" s="295"/>
      <c r="N301" s="295"/>
      <c r="O301" s="295"/>
    </row>
    <row r="302" spans="1:15" x14ac:dyDescent="0.3">
      <c r="J302" s="186"/>
      <c r="K302" s="354"/>
      <c r="M302" s="295"/>
      <c r="N302" s="295"/>
      <c r="O302" s="295"/>
    </row>
    <row r="303" spans="1:15" ht="16.2" thickBot="1" x14ac:dyDescent="0.35">
      <c r="A303" s="147" t="s">
        <v>227</v>
      </c>
      <c r="G303" s="4" t="s">
        <v>219</v>
      </c>
    </row>
    <row r="304" spans="1:15" ht="16.2" thickBot="1" x14ac:dyDescent="0.35">
      <c r="A304" s="313"/>
      <c r="B304" s="252" t="s">
        <v>25</v>
      </c>
      <c r="C304" s="242" t="s">
        <v>26</v>
      </c>
      <c r="D304" s="364" t="s">
        <v>185</v>
      </c>
      <c r="E304" s="165"/>
      <c r="F304" s="187"/>
      <c r="G304" s="472" t="s">
        <v>25</v>
      </c>
      <c r="H304" s="473" t="s">
        <v>26</v>
      </c>
      <c r="J304" s="365" t="s">
        <v>205</v>
      </c>
      <c r="K304" s="366">
        <v>1</v>
      </c>
    </row>
    <row r="305" spans="1:20" x14ac:dyDescent="0.3">
      <c r="A305" s="213" t="s">
        <v>28</v>
      </c>
      <c r="B305" s="279">
        <f t="shared" ref="B305:C311" si="54">G305*$K$304</f>
        <v>3.9699999999999999E-2</v>
      </c>
      <c r="C305" s="280">
        <f t="shared" si="54"/>
        <v>4.3099999999999999E-2</v>
      </c>
      <c r="D305" s="367">
        <f t="shared" ref="D305:D311" si="55">I271*0.01</f>
        <v>4.4277038565678314E-2</v>
      </c>
      <c r="E305" s="259"/>
      <c r="F305" s="188"/>
      <c r="G305" s="368">
        <v>3.9699999999999999E-2</v>
      </c>
      <c r="H305" s="369">
        <v>4.3099999999999999E-2</v>
      </c>
      <c r="I305" s="370">
        <f t="shared" ref="I305:I311" si="56">B305/G305*100-100</f>
        <v>0</v>
      </c>
      <c r="K305" s="259"/>
      <c r="L305" s="259"/>
    </row>
    <row r="306" spans="1:20" x14ac:dyDescent="0.3">
      <c r="A306" s="220" t="s">
        <v>29</v>
      </c>
      <c r="B306" s="281">
        <f t="shared" si="54"/>
        <v>4.1700000000000001E-2</v>
      </c>
      <c r="C306" s="282">
        <f t="shared" si="54"/>
        <v>5.3600000000000002E-2</v>
      </c>
      <c r="D306" s="371">
        <f t="shared" si="55"/>
        <v>5.321643674682193E-2</v>
      </c>
      <c r="E306" s="259"/>
      <c r="F306" s="188"/>
      <c r="G306" s="372">
        <v>4.1700000000000001E-2</v>
      </c>
      <c r="H306" s="141">
        <v>5.3600000000000002E-2</v>
      </c>
      <c r="I306" s="370">
        <f t="shared" si="56"/>
        <v>0</v>
      </c>
      <c r="K306" s="259"/>
      <c r="L306" s="259"/>
    </row>
    <row r="307" spans="1:20" x14ac:dyDescent="0.3">
      <c r="A307" s="220" t="s">
        <v>30</v>
      </c>
      <c r="B307" s="281">
        <f t="shared" si="54"/>
        <v>4.4499999999999998E-2</v>
      </c>
      <c r="C307" s="282">
        <f t="shared" si="54"/>
        <v>6.2600000000000003E-2</v>
      </c>
      <c r="D307" s="371">
        <f t="shared" si="55"/>
        <v>5.9719571283532391E-2</v>
      </c>
      <c r="E307" s="259"/>
      <c r="F307" s="188"/>
      <c r="G307" s="372">
        <v>4.4499999999999998E-2</v>
      </c>
      <c r="H307" s="141">
        <v>6.2600000000000003E-2</v>
      </c>
      <c r="I307" s="370">
        <f t="shared" si="56"/>
        <v>0</v>
      </c>
      <c r="K307" s="259"/>
      <c r="L307" s="259"/>
    </row>
    <row r="308" spans="1:20" x14ac:dyDescent="0.3">
      <c r="A308" s="220" t="s">
        <v>31</v>
      </c>
      <c r="B308" s="281">
        <f t="shared" si="54"/>
        <v>4.7800000000000002E-2</v>
      </c>
      <c r="C308" s="282">
        <f t="shared" si="54"/>
        <v>4.7699999999999999E-2</v>
      </c>
      <c r="D308" s="371">
        <f t="shared" si="55"/>
        <v>4.9715177509761475E-2</v>
      </c>
      <c r="E308" s="259"/>
      <c r="F308" s="188"/>
      <c r="G308" s="372">
        <v>4.7800000000000002E-2</v>
      </c>
      <c r="H308" s="141">
        <v>4.7699999999999999E-2</v>
      </c>
      <c r="I308" s="370">
        <f t="shared" si="56"/>
        <v>0</v>
      </c>
      <c r="K308" s="259"/>
      <c r="L308" s="259"/>
    </row>
    <row r="309" spans="1:20" x14ac:dyDescent="0.3">
      <c r="A309" s="220" t="s">
        <v>32</v>
      </c>
      <c r="B309" s="281">
        <f t="shared" si="54"/>
        <v>4.7399999999999998E-2</v>
      </c>
      <c r="C309" s="282">
        <f t="shared" si="54"/>
        <v>3.0800000000000001E-2</v>
      </c>
      <c r="D309" s="371">
        <f t="shared" si="55"/>
        <v>3.9555684366157494E-2</v>
      </c>
      <c r="E309" s="259"/>
      <c r="F309" s="188"/>
      <c r="G309" s="372">
        <v>4.7399999999999998E-2</v>
      </c>
      <c r="H309" s="141">
        <v>3.0800000000000001E-2</v>
      </c>
      <c r="I309" s="370">
        <f t="shared" si="56"/>
        <v>0</v>
      </c>
      <c r="K309" s="259"/>
      <c r="L309" s="259"/>
    </row>
    <row r="310" spans="1:20" x14ac:dyDescent="0.3">
      <c r="A310" s="220" t="s">
        <v>33</v>
      </c>
      <c r="B310" s="281">
        <f t="shared" si="54"/>
        <v>3.1899999999999998E-2</v>
      </c>
      <c r="C310" s="282">
        <f t="shared" si="54"/>
        <v>2.4799999999999999E-2</v>
      </c>
      <c r="D310" s="371">
        <f t="shared" si="55"/>
        <v>3.2430992677843162E-2</v>
      </c>
      <c r="E310" s="259"/>
      <c r="F310" s="188"/>
      <c r="G310" s="372">
        <v>3.1899999999999998E-2</v>
      </c>
      <c r="H310" s="141">
        <v>2.4799999999999999E-2</v>
      </c>
      <c r="I310" s="370">
        <f t="shared" si="56"/>
        <v>0</v>
      </c>
      <c r="K310" s="259"/>
      <c r="L310" s="259"/>
    </row>
    <row r="311" spans="1:20" ht="16.2" thickBot="1" x14ac:dyDescent="0.35">
      <c r="A311" s="226" t="s">
        <v>34</v>
      </c>
      <c r="B311" s="283">
        <f t="shared" si="54"/>
        <v>3.8300000000000001E-2</v>
      </c>
      <c r="C311" s="284">
        <f t="shared" si="54"/>
        <v>5.6300000000000003E-2</v>
      </c>
      <c r="D311" s="373">
        <f t="shared" si="55"/>
        <v>5.1325821540772837E-2</v>
      </c>
      <c r="E311" s="259"/>
      <c r="F311" s="188"/>
      <c r="G311" s="374">
        <v>3.8300000000000001E-2</v>
      </c>
      <c r="H311" s="375">
        <v>5.6300000000000003E-2</v>
      </c>
      <c r="I311" s="370">
        <f t="shared" si="56"/>
        <v>0</v>
      </c>
      <c r="K311" s="259"/>
      <c r="L311" s="259"/>
    </row>
    <row r="312" spans="1:20" x14ac:dyDescent="0.3">
      <c r="A312" s="5" t="s">
        <v>102</v>
      </c>
      <c r="E312" s="164"/>
    </row>
    <row r="313" spans="1:20" ht="16.2" thickBot="1" x14ac:dyDescent="0.35">
      <c r="A313" s="147" t="s">
        <v>221</v>
      </c>
      <c r="G313" s="4" t="s">
        <v>220</v>
      </c>
      <c r="N313" s="189"/>
      <c r="O313" s="189"/>
      <c r="P313" s="189"/>
      <c r="Q313" s="189"/>
    </row>
    <row r="314" spans="1:20" ht="16.2" thickBot="1" x14ac:dyDescent="0.35">
      <c r="A314" s="313"/>
      <c r="B314" s="252" t="s">
        <v>25</v>
      </c>
      <c r="C314" s="234" t="s">
        <v>26</v>
      </c>
      <c r="D314" s="364" t="s">
        <v>185</v>
      </c>
      <c r="F314" s="190" t="s">
        <v>218</v>
      </c>
      <c r="G314" s="472" t="s">
        <v>25</v>
      </c>
      <c r="H314" s="473" t="s">
        <v>26</v>
      </c>
      <c r="J314" s="365" t="s">
        <v>204</v>
      </c>
      <c r="K314" s="376">
        <v>1</v>
      </c>
      <c r="N314" s="189"/>
      <c r="O314" s="189"/>
      <c r="P314" s="189"/>
      <c r="Q314" s="189"/>
    </row>
    <row r="315" spans="1:20" x14ac:dyDescent="0.3">
      <c r="A315" s="220" t="s">
        <v>28</v>
      </c>
      <c r="B315" s="377">
        <f t="shared" ref="B315:C321" si="57">G315*$K$314</f>
        <v>2.3109999999999999E-2</v>
      </c>
      <c r="C315" s="378">
        <f t="shared" si="57"/>
        <v>7.3600000000000002E-3</v>
      </c>
      <c r="D315" s="367">
        <f t="shared" ref="D315:D321" si="58">I281*0.01</f>
        <v>1.0399586453877134E-2</v>
      </c>
      <c r="F315" s="295">
        <v>1.027E-2</v>
      </c>
      <c r="G315" s="379">
        <v>2.3109999999999999E-2</v>
      </c>
      <c r="H315" s="380">
        <v>7.3600000000000002E-3</v>
      </c>
      <c r="I315" s="370">
        <f t="shared" ref="I315:I321" si="59">B315/G315*100-100</f>
        <v>0</v>
      </c>
      <c r="N315" s="189"/>
      <c r="O315" s="189"/>
      <c r="P315" s="189"/>
      <c r="Q315" s="189"/>
      <c r="R315" s="381"/>
      <c r="S315" s="381"/>
      <c r="T315" s="381"/>
    </row>
    <row r="316" spans="1:20" x14ac:dyDescent="0.3">
      <c r="A316" s="220" t="s">
        <v>29</v>
      </c>
      <c r="B316" s="382">
        <f t="shared" si="57"/>
        <v>3.9739999999999998E-2</v>
      </c>
      <c r="C316" s="383">
        <f t="shared" si="57"/>
        <v>-6.2399999999999999E-3</v>
      </c>
      <c r="D316" s="371">
        <f t="shared" si="58"/>
        <v>1.3876112900459248E-2</v>
      </c>
      <c r="F316" s="295">
        <v>1.137E-2</v>
      </c>
      <c r="G316" s="384">
        <v>3.9739999999999998E-2</v>
      </c>
      <c r="H316" s="385">
        <v>-6.2399999999999999E-3</v>
      </c>
      <c r="I316" s="370">
        <f t="shared" si="59"/>
        <v>0</v>
      </c>
      <c r="N316" s="189"/>
      <c r="O316" s="189"/>
      <c r="P316" s="189"/>
      <c r="Q316" s="189"/>
      <c r="R316" s="381"/>
      <c r="S316" s="381"/>
      <c r="T316" s="381"/>
    </row>
    <row r="317" spans="1:20" x14ac:dyDescent="0.3">
      <c r="A317" s="220" t="s">
        <v>30</v>
      </c>
      <c r="B317" s="382">
        <f t="shared" si="57"/>
        <v>3.074E-2</v>
      </c>
      <c r="C317" s="383">
        <f t="shared" si="57"/>
        <v>-1.7000000000000001E-4</v>
      </c>
      <c r="D317" s="371">
        <f t="shared" si="58"/>
        <v>6.8827202389330471E-3</v>
      </c>
      <c r="F317" s="295">
        <v>6.3600000000000002E-3</v>
      </c>
      <c r="G317" s="384">
        <v>3.074E-2</v>
      </c>
      <c r="H317" s="385">
        <v>-1.7000000000000001E-4</v>
      </c>
      <c r="I317" s="370">
        <f t="shared" si="59"/>
        <v>0</v>
      </c>
      <c r="N317" s="189"/>
      <c r="O317" s="189"/>
      <c r="P317" s="189"/>
      <c r="Q317" s="189"/>
      <c r="R317" s="381"/>
      <c r="S317" s="381"/>
      <c r="T317" s="381"/>
    </row>
    <row r="318" spans="1:20" x14ac:dyDescent="0.3">
      <c r="A318" s="220" t="s">
        <v>31</v>
      </c>
      <c r="B318" s="382">
        <f t="shared" si="57"/>
        <v>1.494E-2</v>
      </c>
      <c r="C318" s="383">
        <f t="shared" si="57"/>
        <v>1.4599999999999999E-3</v>
      </c>
      <c r="D318" s="371">
        <f t="shared" si="58"/>
        <v>6.6317848261994074E-3</v>
      </c>
      <c r="F318" s="295">
        <v>6.4900000000000001E-3</v>
      </c>
      <c r="G318" s="384">
        <v>1.494E-2</v>
      </c>
      <c r="H318" s="385">
        <v>1.4599999999999999E-3</v>
      </c>
      <c r="I318" s="370">
        <f t="shared" si="59"/>
        <v>0</v>
      </c>
      <c r="N318" s="189"/>
      <c r="O318" s="189"/>
      <c r="P318" s="189"/>
      <c r="Q318" s="189"/>
      <c r="R318" s="381"/>
      <c r="S318" s="381"/>
      <c r="T318" s="381"/>
    </row>
    <row r="319" spans="1:20" x14ac:dyDescent="0.3">
      <c r="A319" s="220" t="s">
        <v>32</v>
      </c>
      <c r="B319" s="382">
        <f t="shared" si="57"/>
        <v>1.6619999999999999E-2</v>
      </c>
      <c r="C319" s="383">
        <f t="shared" si="57"/>
        <v>1.1379999999999999E-2</v>
      </c>
      <c r="D319" s="371">
        <f t="shared" si="58"/>
        <v>1.2946799891345791E-2</v>
      </c>
      <c r="F319" s="295">
        <v>1.291E-2</v>
      </c>
      <c r="G319" s="384">
        <v>1.6619999999999999E-2</v>
      </c>
      <c r="H319" s="385">
        <v>1.1379999999999999E-2</v>
      </c>
      <c r="I319" s="370">
        <f t="shared" si="59"/>
        <v>0</v>
      </c>
      <c r="N319" s="189"/>
      <c r="O319" s="189"/>
      <c r="P319" s="189"/>
      <c r="Q319" s="189"/>
      <c r="R319" s="381"/>
      <c r="S319" s="381"/>
      <c r="T319" s="381"/>
    </row>
    <row r="320" spans="1:20" x14ac:dyDescent="0.3">
      <c r="A320" s="220" t="s">
        <v>33</v>
      </c>
      <c r="B320" s="382">
        <f t="shared" si="57"/>
        <v>2.8070000000000001E-2</v>
      </c>
      <c r="C320" s="383">
        <f t="shared" si="57"/>
        <v>2.2300000000000002E-3</v>
      </c>
      <c r="D320" s="371">
        <f t="shared" si="58"/>
        <v>1.8969238214302919E-2</v>
      </c>
      <c r="F320" s="295">
        <v>1.8460000000000001E-2</v>
      </c>
      <c r="G320" s="384">
        <v>2.8070000000000001E-2</v>
      </c>
      <c r="H320" s="385">
        <v>2.2300000000000002E-3</v>
      </c>
      <c r="I320" s="370">
        <f t="shared" si="59"/>
        <v>0</v>
      </c>
      <c r="N320" s="189"/>
      <c r="O320" s="189"/>
      <c r="P320" s="189"/>
      <c r="Q320" s="189"/>
      <c r="R320" s="381"/>
      <c r="S320" s="381"/>
      <c r="T320" s="381"/>
    </row>
    <row r="321" spans="1:20" ht="16.2" thickBot="1" x14ac:dyDescent="0.35">
      <c r="A321" s="226" t="s">
        <v>34</v>
      </c>
      <c r="B321" s="386">
        <f t="shared" si="57"/>
        <v>1.176E-2</v>
      </c>
      <c r="C321" s="387">
        <f t="shared" si="57"/>
        <v>6.4000000000000005E-4</v>
      </c>
      <c r="D321" s="373">
        <f t="shared" si="58"/>
        <v>3.5532477182040625E-3</v>
      </c>
      <c r="F321" s="295">
        <v>3.47E-3</v>
      </c>
      <c r="G321" s="388">
        <v>1.176E-2</v>
      </c>
      <c r="H321" s="389">
        <v>6.4000000000000005E-4</v>
      </c>
      <c r="I321" s="370">
        <f t="shared" si="59"/>
        <v>0</v>
      </c>
      <c r="N321" s="189"/>
      <c r="O321" s="189"/>
      <c r="P321" s="189"/>
      <c r="Q321" s="189"/>
      <c r="R321" s="381"/>
      <c r="S321" s="381"/>
      <c r="T321" s="381"/>
    </row>
    <row r="322" spans="1:20" x14ac:dyDescent="0.3">
      <c r="A322" s="5" t="s">
        <v>105</v>
      </c>
      <c r="N322" s="191"/>
      <c r="O322" s="295"/>
      <c r="P322" s="295"/>
      <c r="Q322" s="295"/>
    </row>
    <row r="323" spans="1:20" ht="16.2" thickBot="1" x14ac:dyDescent="0.35">
      <c r="A323" s="147" t="s">
        <v>116</v>
      </c>
    </row>
    <row r="324" spans="1:20" ht="16.2" thickBot="1" x14ac:dyDescent="0.35">
      <c r="A324" s="270"/>
      <c r="B324" s="270" t="s">
        <v>28</v>
      </c>
      <c r="C324" s="390" t="s">
        <v>29</v>
      </c>
      <c r="D324" s="390" t="s">
        <v>30</v>
      </c>
      <c r="E324" s="390" t="s">
        <v>31</v>
      </c>
      <c r="F324" s="390" t="s">
        <v>32</v>
      </c>
      <c r="G324" s="390" t="s">
        <v>33</v>
      </c>
      <c r="H324" s="391" t="s">
        <v>34</v>
      </c>
      <c r="I324" s="502" t="s">
        <v>284</v>
      </c>
      <c r="L324" s="506" t="s">
        <v>286</v>
      </c>
    </row>
    <row r="325" spans="1:20" ht="16.2" thickBot="1" x14ac:dyDescent="0.35">
      <c r="A325" s="226" t="s">
        <v>27</v>
      </c>
      <c r="B325" s="503">
        <v>0.35</v>
      </c>
      <c r="C325" s="504">
        <v>0.35</v>
      </c>
      <c r="D325" s="504">
        <v>0.35</v>
      </c>
      <c r="E325" s="504">
        <v>0.4</v>
      </c>
      <c r="F325" s="504">
        <v>0.4</v>
      </c>
      <c r="G325" s="504">
        <v>0.4</v>
      </c>
      <c r="H325" s="505">
        <v>0.4</v>
      </c>
      <c r="I325" s="501">
        <v>0.4</v>
      </c>
      <c r="L325" s="181" t="s">
        <v>287</v>
      </c>
    </row>
    <row r="326" spans="1:20" x14ac:dyDescent="0.3">
      <c r="E326" s="274"/>
      <c r="F326" s="274"/>
      <c r="G326" s="274"/>
      <c r="H326" s="274"/>
      <c r="I326" s="274"/>
    </row>
    <row r="327" spans="1:20" ht="16.2" thickBot="1" x14ac:dyDescent="0.35">
      <c r="A327" s="147" t="s">
        <v>117</v>
      </c>
    </row>
    <row r="328" spans="1:20" ht="16.2" thickBot="1" x14ac:dyDescent="0.35">
      <c r="A328" s="270"/>
      <c r="B328" s="270" t="s">
        <v>28</v>
      </c>
      <c r="C328" s="390" t="s">
        <v>29</v>
      </c>
      <c r="D328" s="390" t="s">
        <v>30</v>
      </c>
      <c r="E328" s="390" t="s">
        <v>31</v>
      </c>
      <c r="F328" s="390" t="s">
        <v>32</v>
      </c>
      <c r="G328" s="390" t="s">
        <v>33</v>
      </c>
      <c r="H328" s="391" t="s">
        <v>34</v>
      </c>
      <c r="I328" s="502" t="s">
        <v>285</v>
      </c>
    </row>
    <row r="329" spans="1:20" ht="16.2" thickBot="1" x14ac:dyDescent="0.35">
      <c r="A329" s="226" t="s">
        <v>27</v>
      </c>
      <c r="B329" s="503">
        <v>0.15</v>
      </c>
      <c r="C329" s="504">
        <v>0.15</v>
      </c>
      <c r="D329" s="504">
        <v>0.15</v>
      </c>
      <c r="E329" s="504">
        <v>0.2</v>
      </c>
      <c r="F329" s="504">
        <v>0.2</v>
      </c>
      <c r="G329" s="504">
        <v>0.2</v>
      </c>
      <c r="H329" s="505">
        <v>0.2</v>
      </c>
      <c r="I329" s="501">
        <v>0.16</v>
      </c>
    </row>
    <row r="330" spans="1:20" x14ac:dyDescent="0.3">
      <c r="E330" s="274"/>
      <c r="F330" s="274"/>
      <c r="G330" s="274"/>
      <c r="H330" s="274"/>
      <c r="I330" s="274"/>
    </row>
    <row r="331" spans="1:20" ht="16.2" thickBot="1" x14ac:dyDescent="0.35">
      <c r="A331" s="147" t="s">
        <v>118</v>
      </c>
      <c r="H331" s="274"/>
    </row>
    <row r="332" spans="1:20" ht="16.2" thickBot="1" x14ac:dyDescent="0.35">
      <c r="A332" s="232"/>
      <c r="B332" s="233"/>
      <c r="C332" s="270" t="s">
        <v>28</v>
      </c>
      <c r="D332" s="390" t="s">
        <v>29</v>
      </c>
      <c r="E332" s="390" t="s">
        <v>30</v>
      </c>
      <c r="F332" s="390" t="s">
        <v>31</v>
      </c>
      <c r="G332" s="390" t="s">
        <v>32</v>
      </c>
      <c r="H332" s="390" t="s">
        <v>33</v>
      </c>
      <c r="I332" s="391" t="s">
        <v>34</v>
      </c>
      <c r="J332" s="445" t="s">
        <v>185</v>
      </c>
    </row>
    <row r="333" spans="1:20" x14ac:dyDescent="0.3">
      <c r="A333" s="243" t="s">
        <v>36</v>
      </c>
      <c r="B333" s="243" t="s">
        <v>36</v>
      </c>
      <c r="C333" s="499">
        <v>0.6</v>
      </c>
      <c r="D333" s="392">
        <v>0.6</v>
      </c>
      <c r="E333" s="392">
        <v>0.6</v>
      </c>
      <c r="F333" s="392">
        <v>0.6</v>
      </c>
      <c r="G333" s="392">
        <v>0.6</v>
      </c>
      <c r="H333" s="392">
        <v>0.6</v>
      </c>
      <c r="I333" s="256">
        <v>0.6</v>
      </c>
      <c r="J333" s="531">
        <f>AVERAGE(C333:I333)</f>
        <v>0.6</v>
      </c>
    </row>
    <row r="334" spans="1:20" x14ac:dyDescent="0.3">
      <c r="A334" s="246" t="s">
        <v>36</v>
      </c>
      <c r="B334" s="246" t="s">
        <v>37</v>
      </c>
      <c r="C334" s="255">
        <v>-0.05</v>
      </c>
      <c r="D334" s="392">
        <v>-0.05</v>
      </c>
      <c r="E334" s="392">
        <v>-0.05</v>
      </c>
      <c r="F334" s="392">
        <v>-0.05</v>
      </c>
      <c r="G334" s="392">
        <v>-0.05</v>
      </c>
      <c r="H334" s="392">
        <v>-0.05</v>
      </c>
      <c r="I334" s="256">
        <v>-0.05</v>
      </c>
      <c r="J334" s="326">
        <f t="shared" ref="J334:J341" si="60">AVERAGE(C334:I334)</f>
        <v>-4.9999999999999996E-2</v>
      </c>
    </row>
    <row r="335" spans="1:20" x14ac:dyDescent="0.3">
      <c r="A335" s="246" t="s">
        <v>36</v>
      </c>
      <c r="B335" s="246" t="s">
        <v>38</v>
      </c>
      <c r="C335" s="255">
        <v>-0.05</v>
      </c>
      <c r="D335" s="392">
        <v>-0.05</v>
      </c>
      <c r="E335" s="392">
        <v>-0.05</v>
      </c>
      <c r="F335" s="392">
        <v>-0.05</v>
      </c>
      <c r="G335" s="392">
        <v>-0.05</v>
      </c>
      <c r="H335" s="392">
        <v>-0.05</v>
      </c>
      <c r="I335" s="256">
        <v>-0.05</v>
      </c>
      <c r="J335" s="326">
        <f t="shared" si="60"/>
        <v>-4.9999999999999996E-2</v>
      </c>
    </row>
    <row r="336" spans="1:20" x14ac:dyDescent="0.3">
      <c r="A336" s="246" t="s">
        <v>37</v>
      </c>
      <c r="B336" s="246" t="s">
        <v>36</v>
      </c>
      <c r="C336" s="255">
        <v>-0.05</v>
      </c>
      <c r="D336" s="392">
        <v>-0.05</v>
      </c>
      <c r="E336" s="392">
        <v>-0.05</v>
      </c>
      <c r="F336" s="392">
        <v>-0.05</v>
      </c>
      <c r="G336" s="392">
        <v>-0.05</v>
      </c>
      <c r="H336" s="392">
        <v>-0.05</v>
      </c>
      <c r="I336" s="256">
        <v>-0.05</v>
      </c>
      <c r="J336" s="326">
        <f t="shared" si="60"/>
        <v>-4.9999999999999996E-2</v>
      </c>
    </row>
    <row r="337" spans="1:10" x14ac:dyDescent="0.3">
      <c r="A337" s="246" t="s">
        <v>37</v>
      </c>
      <c r="B337" s="246" t="s">
        <v>37</v>
      </c>
      <c r="C337" s="499">
        <v>0.65</v>
      </c>
      <c r="D337" s="392">
        <v>0.65</v>
      </c>
      <c r="E337" s="392">
        <v>0.65</v>
      </c>
      <c r="F337" s="392">
        <v>0.65</v>
      </c>
      <c r="G337" s="392">
        <v>0.65</v>
      </c>
      <c r="H337" s="392">
        <v>0.65</v>
      </c>
      <c r="I337" s="256">
        <v>0.65</v>
      </c>
      <c r="J337" s="532">
        <f t="shared" si="60"/>
        <v>0.65</v>
      </c>
    </row>
    <row r="338" spans="1:10" x14ac:dyDescent="0.3">
      <c r="A338" s="246" t="s">
        <v>37</v>
      </c>
      <c r="B338" s="246" t="s">
        <v>38</v>
      </c>
      <c r="C338" s="255">
        <v>-0.05</v>
      </c>
      <c r="D338" s="392">
        <v>-0.05</v>
      </c>
      <c r="E338" s="392">
        <v>-0.05</v>
      </c>
      <c r="F338" s="392">
        <v>-0.05</v>
      </c>
      <c r="G338" s="392">
        <v>-0.05</v>
      </c>
      <c r="H338" s="392">
        <v>-0.05</v>
      </c>
      <c r="I338" s="256">
        <v>-0.05</v>
      </c>
      <c r="J338" s="326">
        <f t="shared" si="60"/>
        <v>-4.9999999999999996E-2</v>
      </c>
    </row>
    <row r="339" spans="1:10" x14ac:dyDescent="0.3">
      <c r="A339" s="246" t="s">
        <v>38</v>
      </c>
      <c r="B339" s="246" t="s">
        <v>36</v>
      </c>
      <c r="C339" s="255">
        <v>-0.05</v>
      </c>
      <c r="D339" s="392">
        <v>-0.05</v>
      </c>
      <c r="E339" s="392">
        <v>-0.05</v>
      </c>
      <c r="F339" s="392">
        <v>-0.05</v>
      </c>
      <c r="G339" s="392">
        <v>-0.05</v>
      </c>
      <c r="H339" s="392">
        <v>-0.05</v>
      </c>
      <c r="I339" s="256">
        <v>-0.05</v>
      </c>
      <c r="J339" s="326">
        <f t="shared" si="60"/>
        <v>-4.9999999999999996E-2</v>
      </c>
    </row>
    <row r="340" spans="1:10" x14ac:dyDescent="0.3">
      <c r="A340" s="246" t="s">
        <v>38</v>
      </c>
      <c r="B340" s="246" t="s">
        <v>37</v>
      </c>
      <c r="C340" s="255">
        <v>-0.05</v>
      </c>
      <c r="D340" s="392">
        <v>-0.05</v>
      </c>
      <c r="E340" s="392">
        <v>-0.05</v>
      </c>
      <c r="F340" s="392">
        <v>-0.05</v>
      </c>
      <c r="G340" s="392">
        <v>-0.05</v>
      </c>
      <c r="H340" s="392">
        <v>-0.05</v>
      </c>
      <c r="I340" s="256">
        <v>-0.05</v>
      </c>
      <c r="J340" s="326">
        <f t="shared" si="60"/>
        <v>-4.9999999999999996E-2</v>
      </c>
    </row>
    <row r="341" spans="1:10" ht="16.2" thickBot="1" x14ac:dyDescent="0.35">
      <c r="A341" s="249" t="s">
        <v>38</v>
      </c>
      <c r="B341" s="249" t="s">
        <v>38</v>
      </c>
      <c r="C341" s="500">
        <v>0.75</v>
      </c>
      <c r="D341" s="393">
        <v>0.75</v>
      </c>
      <c r="E341" s="393">
        <v>0.75</v>
      </c>
      <c r="F341" s="393">
        <v>0.75</v>
      </c>
      <c r="G341" s="393">
        <v>0.75</v>
      </c>
      <c r="H341" s="393">
        <v>0.75</v>
      </c>
      <c r="I341" s="269">
        <v>0.75</v>
      </c>
      <c r="J341" s="177">
        <f t="shared" si="60"/>
        <v>0.75</v>
      </c>
    </row>
    <row r="342" spans="1:10" x14ac:dyDescent="0.3">
      <c r="A342" s="5" t="s">
        <v>64</v>
      </c>
    </row>
    <row r="343" spans="1:10" ht="16.2" thickBot="1" x14ac:dyDescent="0.35">
      <c r="A343" s="147" t="s">
        <v>65</v>
      </c>
    </row>
    <row r="344" spans="1:10" ht="16.2" thickBot="1" x14ac:dyDescent="0.35">
      <c r="A344" s="271"/>
      <c r="B344" s="391" t="s">
        <v>27</v>
      </c>
    </row>
    <row r="345" spans="1:10" x14ac:dyDescent="0.3">
      <c r="A345" s="246" t="s">
        <v>36</v>
      </c>
      <c r="B345" s="256">
        <v>-0.03</v>
      </c>
    </row>
    <row r="346" spans="1:10" x14ac:dyDescent="0.3">
      <c r="A346" s="246" t="s">
        <v>37</v>
      </c>
      <c r="B346" s="256">
        <v>-0.04</v>
      </c>
    </row>
    <row r="347" spans="1:10" ht="16.2" thickBot="1" x14ac:dyDescent="0.35">
      <c r="A347" s="249" t="s">
        <v>38</v>
      </c>
      <c r="B347" s="269">
        <v>-0.05</v>
      </c>
    </row>
    <row r="349" spans="1:10" ht="16.2" thickBot="1" x14ac:dyDescent="0.35">
      <c r="A349" s="147" t="s">
        <v>66</v>
      </c>
    </row>
    <row r="350" spans="1:10" ht="16.2" thickBot="1" x14ac:dyDescent="0.35">
      <c r="A350" s="232"/>
      <c r="B350" s="233"/>
      <c r="C350" s="270" t="s">
        <v>25</v>
      </c>
      <c r="D350" s="271" t="s">
        <v>26</v>
      </c>
      <c r="E350" s="151" t="s">
        <v>185</v>
      </c>
      <c r="G350" s="88" t="s">
        <v>186</v>
      </c>
    </row>
    <row r="351" spans="1:10" x14ac:dyDescent="0.3">
      <c r="A351" s="243" t="s">
        <v>27</v>
      </c>
      <c r="B351" s="243" t="s">
        <v>28</v>
      </c>
      <c r="C351" s="253">
        <v>0.46700000000000003</v>
      </c>
      <c r="D351" s="254">
        <v>-1.417</v>
      </c>
      <c r="E351" s="152">
        <f>(C351*B$281+D351*C$281)/(B$281+C$281)</f>
        <v>-1.066953143303397</v>
      </c>
      <c r="G351" s="148">
        <f>(E351*D$281+E355*D$282+E359*D$283+E363*D$284+E367*D$285+E371*D$286+E375*D$287)/SUM(D$281:D$287)</f>
        <v>0.39557936851667974</v>
      </c>
    </row>
    <row r="352" spans="1:10" x14ac:dyDescent="0.3">
      <c r="A352" s="246" t="s">
        <v>36</v>
      </c>
      <c r="B352" s="246" t="s">
        <v>28</v>
      </c>
      <c r="C352" s="255">
        <v>0.98599999999999999</v>
      </c>
      <c r="D352" s="256">
        <v>1.3360000000000001</v>
      </c>
      <c r="E352" s="153">
        <f>(C352*B$281+D352*C$281)/(B$281+C$281)</f>
        <v>1.2709700637771704</v>
      </c>
      <c r="G352" s="149">
        <f>(E352*D$281+E356*D$282+E360*D$283+E364*D$284+E368*D$285+E372*D$286+E376*D$287)/SUM(D$281:D$287)</f>
        <v>1.2337163036359411</v>
      </c>
    </row>
    <row r="353" spans="1:7" x14ac:dyDescent="0.3">
      <c r="A353" s="246" t="s">
        <v>37</v>
      </c>
      <c r="B353" s="246" t="s">
        <v>28</v>
      </c>
      <c r="C353" s="255">
        <v>1.095</v>
      </c>
      <c r="D353" s="256">
        <v>1.47</v>
      </c>
      <c r="E353" s="153">
        <f>(C353*B$281+D353*C$281)/(B$281+C$281)</f>
        <v>1.4003250683326824</v>
      </c>
      <c r="G353" s="149">
        <f>(E353*D$281+E357*D$282+E361*D$283+E365*D$284+E369*D$285+E373*D$286+E377*D$287)/SUM(D$281:D$287)</f>
        <v>1.3610398538017874</v>
      </c>
    </row>
    <row r="354" spans="1:7" ht="16.2" thickBot="1" x14ac:dyDescent="0.35">
      <c r="A354" s="249" t="s">
        <v>38</v>
      </c>
      <c r="B354" s="249" t="s">
        <v>28</v>
      </c>
      <c r="C354" s="268">
        <v>1.2050000000000001</v>
      </c>
      <c r="D354" s="269">
        <v>1.617</v>
      </c>
      <c r="E354" s="154">
        <f>(C354*B$281+D354*C$281)/(B$281+C$281)</f>
        <v>1.5404504750748407</v>
      </c>
      <c r="G354" s="150">
        <f>(E354*D$281+E358*D$282+E362*D$283+E366*D$284+E370*D$285+E374*D$286+E378*D$287)/SUM(D$281:D$287)</f>
        <v>1.4971614148691188</v>
      </c>
    </row>
    <row r="355" spans="1:7" x14ac:dyDescent="0.3">
      <c r="A355" s="243" t="s">
        <v>27</v>
      </c>
      <c r="B355" s="243" t="s">
        <v>29</v>
      </c>
      <c r="C355" s="253">
        <v>0.99099999999999999</v>
      </c>
      <c r="D355" s="254">
        <v>0.96699999999999997</v>
      </c>
      <c r="E355" s="152">
        <f>(C355*B$282+D355*C$282)/(B$282+C$282)</f>
        <v>0.97670376140663262</v>
      </c>
    </row>
    <row r="356" spans="1:7" x14ac:dyDescent="0.3">
      <c r="A356" s="246" t="s">
        <v>36</v>
      </c>
      <c r="B356" s="246" t="s">
        <v>29</v>
      </c>
      <c r="C356" s="255">
        <v>0.79800000000000004</v>
      </c>
      <c r="D356" s="256">
        <v>1.2849999999999999</v>
      </c>
      <c r="E356" s="153">
        <f>(C356*B$282+D356*C$282)/(B$282+C$282)</f>
        <v>1.0880945081237479</v>
      </c>
    </row>
    <row r="357" spans="1:7" x14ac:dyDescent="0.3">
      <c r="A357" s="246" t="s">
        <v>37</v>
      </c>
      <c r="B357" s="246" t="s">
        <v>29</v>
      </c>
      <c r="C357" s="255">
        <v>0.88700000000000001</v>
      </c>
      <c r="D357" s="256">
        <v>1.4139999999999999</v>
      </c>
      <c r="E357" s="153">
        <f>(C357*B$282+D357*C$282)/(B$282+C$282)</f>
        <v>1.2009215724460272</v>
      </c>
    </row>
    <row r="358" spans="1:7" ht="16.2" thickBot="1" x14ac:dyDescent="0.35">
      <c r="A358" s="249" t="s">
        <v>38</v>
      </c>
      <c r="B358" s="249" t="s">
        <v>29</v>
      </c>
      <c r="C358" s="268">
        <v>0.97599999999999998</v>
      </c>
      <c r="D358" s="269">
        <v>1.5549999999999999</v>
      </c>
      <c r="E358" s="154">
        <f>(C358*B$282+D358*C$282)/(B$282+C$282)</f>
        <v>1.32089675606499</v>
      </c>
    </row>
    <row r="359" spans="1:7" x14ac:dyDescent="0.3">
      <c r="A359" s="243" t="s">
        <v>27</v>
      </c>
      <c r="B359" s="243" t="s">
        <v>30</v>
      </c>
      <c r="C359" s="253">
        <v>1.006</v>
      </c>
      <c r="D359" s="254">
        <v>0.27100000000000002</v>
      </c>
      <c r="E359" s="152">
        <f>(C359*B$283+D359*C$283)/(B$283+C$283)</f>
        <v>0.42705306053622627</v>
      </c>
    </row>
    <row r="360" spans="1:7" x14ac:dyDescent="0.3">
      <c r="A360" s="246" t="s">
        <v>36</v>
      </c>
      <c r="B360" s="246" t="s">
        <v>30</v>
      </c>
      <c r="C360" s="255">
        <v>1.1619999999999999</v>
      </c>
      <c r="D360" s="256">
        <v>1.4370000000000001</v>
      </c>
      <c r="E360" s="153">
        <f>(C360*B$283+D360*C$283)/(B$283+C$283)</f>
        <v>1.3786128004796434</v>
      </c>
    </row>
    <row r="361" spans="1:7" x14ac:dyDescent="0.3">
      <c r="A361" s="246" t="s">
        <v>37</v>
      </c>
      <c r="B361" s="246" t="s">
        <v>30</v>
      </c>
      <c r="C361" s="255">
        <v>1.2909999999999999</v>
      </c>
      <c r="D361" s="256">
        <v>1.581</v>
      </c>
      <c r="E361" s="153">
        <f>(C361*B$283+D361*C$283)/(B$283+C$283)</f>
        <v>1.5194280441421693</v>
      </c>
    </row>
    <row r="362" spans="1:7" ht="16.2" thickBot="1" x14ac:dyDescent="0.35">
      <c r="A362" s="249" t="s">
        <v>38</v>
      </c>
      <c r="B362" s="249" t="s">
        <v>30</v>
      </c>
      <c r="C362" s="268">
        <v>1.42</v>
      </c>
      <c r="D362" s="269">
        <v>1.7390000000000001</v>
      </c>
      <c r="E362" s="154">
        <f>(C362*B$283+D362*C$283)/(B$283+C$283)</f>
        <v>1.6712708485563863</v>
      </c>
    </row>
    <row r="363" spans="1:7" x14ac:dyDescent="0.3">
      <c r="A363" s="243" t="s">
        <v>27</v>
      </c>
      <c r="B363" s="243" t="s">
        <v>31</v>
      </c>
      <c r="C363" s="253">
        <v>0.65700000000000003</v>
      </c>
      <c r="D363" s="254">
        <v>-0.14000000000000001</v>
      </c>
      <c r="E363" s="152">
        <f>(C363*B$284+D363*C$284)/(B$284+C$284)</f>
        <v>0.1582410816111188</v>
      </c>
    </row>
    <row r="364" spans="1:7" x14ac:dyDescent="0.3">
      <c r="A364" s="246" t="s">
        <v>36</v>
      </c>
      <c r="B364" s="246" t="s">
        <v>31</v>
      </c>
      <c r="C364" s="255">
        <v>1.0129999999999999</v>
      </c>
      <c r="D364" s="256">
        <v>1.3620000000000001</v>
      </c>
      <c r="E364" s="153">
        <f>(C364*B$284+D364*C$284)/(B$284+C$284)</f>
        <v>1.2314025878515928</v>
      </c>
    </row>
    <row r="365" spans="1:7" x14ac:dyDescent="0.3">
      <c r="A365" s="246" t="s">
        <v>37</v>
      </c>
      <c r="B365" s="246" t="s">
        <v>31</v>
      </c>
      <c r="C365" s="255">
        <v>1.125</v>
      </c>
      <c r="D365" s="256">
        <v>1.498</v>
      </c>
      <c r="E365" s="153">
        <f>(C365*B$284+D365*C$284)/(B$284+C$284)</f>
        <v>1.358421676987519</v>
      </c>
    </row>
    <row r="366" spans="1:7" ht="16.2" thickBot="1" x14ac:dyDescent="0.35">
      <c r="A366" s="249" t="s">
        <v>38</v>
      </c>
      <c r="B366" s="249" t="s">
        <v>31</v>
      </c>
      <c r="C366" s="268">
        <v>1.238</v>
      </c>
      <c r="D366" s="269">
        <v>1.6479999999999999</v>
      </c>
      <c r="E366" s="154">
        <f>(C366*B$284+D366*C$284)/(B$284+C$284)</f>
        <v>1.4945761060720715</v>
      </c>
    </row>
    <row r="367" spans="1:7" x14ac:dyDescent="0.3">
      <c r="A367" s="243" t="s">
        <v>27</v>
      </c>
      <c r="B367" s="243" t="s">
        <v>32</v>
      </c>
      <c r="C367" s="253">
        <v>0.63900000000000001</v>
      </c>
      <c r="D367" s="254">
        <v>0.33400000000000002</v>
      </c>
      <c r="E367" s="152">
        <f>(C367*B$285+D367*C$285)/(B$285+C$285)</f>
        <v>0.42420797492718332</v>
      </c>
    </row>
    <row r="368" spans="1:7" x14ac:dyDescent="0.3">
      <c r="A368" s="246" t="s">
        <v>36</v>
      </c>
      <c r="B368" s="246" t="s">
        <v>32</v>
      </c>
      <c r="C368" s="255">
        <v>1.1399999999999999</v>
      </c>
      <c r="D368" s="256">
        <v>1.462</v>
      </c>
      <c r="E368" s="153">
        <f>(C368*B$285+D368*C$285)/(B$285+C$285)</f>
        <v>1.3667640395850722</v>
      </c>
    </row>
    <row r="369" spans="1:14" x14ac:dyDescent="0.3">
      <c r="A369" s="246" t="s">
        <v>37</v>
      </c>
      <c r="B369" s="246" t="s">
        <v>32</v>
      </c>
      <c r="C369" s="255">
        <v>1.2669999999999999</v>
      </c>
      <c r="D369" s="256">
        <v>1.6080000000000001</v>
      </c>
      <c r="E369" s="153">
        <f>(C369*B$285+D369*C$285)/(B$285+C$285)</f>
        <v>1.5071445263928871</v>
      </c>
    </row>
    <row r="370" spans="1:14" ht="16.2" thickBot="1" x14ac:dyDescent="0.35">
      <c r="A370" s="249" t="s">
        <v>38</v>
      </c>
      <c r="B370" s="249" t="s">
        <v>32</v>
      </c>
      <c r="C370" s="268">
        <v>1.3939999999999999</v>
      </c>
      <c r="D370" s="269">
        <v>1.7689999999999999</v>
      </c>
      <c r="E370" s="154">
        <f>(C370*B$285+D370*C$285)/(B$285+C$285)</f>
        <v>1.6580885554173976</v>
      </c>
    </row>
    <row r="371" spans="1:14" x14ac:dyDescent="0.3">
      <c r="A371" s="243" t="s">
        <v>27</v>
      </c>
      <c r="B371" s="243" t="s">
        <v>33</v>
      </c>
      <c r="C371" s="253">
        <v>0.71599999999999997</v>
      </c>
      <c r="D371" s="254">
        <v>-0.62</v>
      </c>
      <c r="E371" s="152">
        <f>(C371*B$286+D371*C$286)/(B$286+C$286)</f>
        <v>0.22205487779879696</v>
      </c>
    </row>
    <row r="372" spans="1:14" x14ac:dyDescent="0.3">
      <c r="A372" s="246" t="s">
        <v>36</v>
      </c>
      <c r="B372" s="246" t="s">
        <v>33</v>
      </c>
      <c r="C372" s="255">
        <v>0.96299999999999997</v>
      </c>
      <c r="D372" s="256">
        <v>1.2509999999999999</v>
      </c>
      <c r="E372" s="153">
        <f>(C372*B$286+D372*C$286)/(B$286+C$286)</f>
        <v>1.069479188019421</v>
      </c>
    </row>
    <row r="373" spans="1:14" x14ac:dyDescent="0.3">
      <c r="A373" s="246" t="s">
        <v>37</v>
      </c>
      <c r="B373" s="246" t="s">
        <v>33</v>
      </c>
      <c r="C373" s="255">
        <v>1.07</v>
      </c>
      <c r="D373" s="256">
        <v>1.3759999999999999</v>
      </c>
      <c r="E373" s="153">
        <f>(C373*B$286+D373*C$286)/(B$286+C$286)</f>
        <v>1.183134137270635</v>
      </c>
    </row>
    <row r="374" spans="1:14" ht="16.2" thickBot="1" x14ac:dyDescent="0.35">
      <c r="A374" s="249" t="s">
        <v>38</v>
      </c>
      <c r="B374" s="249" t="s">
        <v>33</v>
      </c>
      <c r="C374" s="268">
        <v>1.177</v>
      </c>
      <c r="D374" s="269">
        <v>1.514</v>
      </c>
      <c r="E374" s="154">
        <f>(C374*B$286+D374*C$286)/(B$286+C$286)</f>
        <v>1.3015954387588364</v>
      </c>
    </row>
    <row r="375" spans="1:14" x14ac:dyDescent="0.3">
      <c r="A375" s="243" t="s">
        <v>27</v>
      </c>
      <c r="B375" s="243" t="s">
        <v>34</v>
      </c>
      <c r="C375" s="253">
        <v>1.1120000000000001</v>
      </c>
      <c r="D375" s="254">
        <v>0.91400000000000003</v>
      </c>
      <c r="E375" s="152">
        <f>(C375*B$287+D375*C$287)/(B$287+C$287)</f>
        <v>0.96460900773391312</v>
      </c>
    </row>
    <row r="376" spans="1:14" x14ac:dyDescent="0.3">
      <c r="A376" s="246" t="s">
        <v>36</v>
      </c>
      <c r="B376" s="246" t="s">
        <v>34</v>
      </c>
      <c r="C376" s="255">
        <v>1.1279999999999999</v>
      </c>
      <c r="D376" s="256">
        <v>1.51</v>
      </c>
      <c r="E376" s="153">
        <f>(C376*B$287+D376*C$287)/(B$287+C$287)</f>
        <v>1.4123603992204303</v>
      </c>
    </row>
    <row r="377" spans="1:14" x14ac:dyDescent="0.3">
      <c r="A377" s="246" t="s">
        <v>37</v>
      </c>
      <c r="B377" s="246" t="s">
        <v>34</v>
      </c>
      <c r="C377" s="255">
        <v>1.2529999999999999</v>
      </c>
      <c r="D377" s="256">
        <v>1.661</v>
      </c>
      <c r="E377" s="153">
        <f>(C377*B$287+D377*C$287)/(B$287+C$287)</f>
        <v>1.5567147719422401</v>
      </c>
    </row>
    <row r="378" spans="1:14" ht="16.2" thickBot="1" x14ac:dyDescent="0.35">
      <c r="A378" s="249" t="s">
        <v>38</v>
      </c>
      <c r="B378" s="249" t="s">
        <v>34</v>
      </c>
      <c r="C378" s="268">
        <v>1.3779999999999999</v>
      </c>
      <c r="D378" s="269">
        <v>1.827</v>
      </c>
      <c r="E378" s="154">
        <f>(C378*B$287+D378*C$287)/(B$287+C$287)</f>
        <v>1.7122351289266318</v>
      </c>
    </row>
    <row r="379" spans="1:14" x14ac:dyDescent="0.3">
      <c r="A379" s="5" t="s">
        <v>67</v>
      </c>
    </row>
    <row r="380" spans="1:14" ht="16.2" thickBot="1" x14ac:dyDescent="0.35">
      <c r="A380" s="147" t="s">
        <v>68</v>
      </c>
      <c r="F380" s="128" t="s">
        <v>187</v>
      </c>
      <c r="G380" s="156" t="s">
        <v>188</v>
      </c>
      <c r="I380" s="129" t="s">
        <v>189</v>
      </c>
      <c r="J380" s="130"/>
      <c r="K380" s="130"/>
      <c r="L380" s="130"/>
      <c r="M380" s="130"/>
      <c r="N380" s="130"/>
    </row>
    <row r="381" spans="1:14" ht="16.2" thickBot="1" x14ac:dyDescent="0.35">
      <c r="A381" s="213"/>
      <c r="B381" s="216"/>
      <c r="C381" s="258"/>
      <c r="D381" s="252" t="s">
        <v>25</v>
      </c>
      <c r="E381" s="234" t="s">
        <v>26</v>
      </c>
      <c r="F381" s="394" t="s">
        <v>185</v>
      </c>
      <c r="G381" s="157" t="s">
        <v>191</v>
      </c>
      <c r="I381" s="131"/>
      <c r="J381" s="132" t="s">
        <v>27</v>
      </c>
      <c r="K381" s="132" t="s">
        <v>36</v>
      </c>
      <c r="L381" s="132" t="s">
        <v>37</v>
      </c>
      <c r="M381" s="133" t="s">
        <v>38</v>
      </c>
      <c r="N381" s="131" t="s">
        <v>190</v>
      </c>
    </row>
    <row r="382" spans="1:14" x14ac:dyDescent="0.3">
      <c r="A382" s="243" t="s">
        <v>27</v>
      </c>
      <c r="B382" s="258" t="s">
        <v>27</v>
      </c>
      <c r="C382" s="258" t="s">
        <v>28</v>
      </c>
      <c r="D382" s="395">
        <v>-0.222</v>
      </c>
      <c r="E382" s="254">
        <v>-0.84099999999999997</v>
      </c>
      <c r="F382" s="396">
        <f>(D382*B$281+E382*C$281)/(B$281+C$281)</f>
        <v>-0.72598991279448133</v>
      </c>
      <c r="G382" s="158">
        <f>(F382*D$281+F398*D$282+F414*D$283+F430*D$284+F446*D$285+F462*D$286+F478*D$287)/SUM(D$281:D$287)</f>
        <v>-0.66815834935457286</v>
      </c>
      <c r="I382" s="134" t="s">
        <v>27</v>
      </c>
      <c r="J382" s="564">
        <f>G382</f>
        <v>-0.66815834935457286</v>
      </c>
      <c r="K382" s="135">
        <f>G383</f>
        <v>0.1138616652229945</v>
      </c>
      <c r="L382" s="135">
        <f>G384</f>
        <v>0.1138616652229945</v>
      </c>
      <c r="M382" s="136">
        <f>G385</f>
        <v>0.1138616652229945</v>
      </c>
      <c r="N382" s="137">
        <f>G351</f>
        <v>0.39557936851667974</v>
      </c>
    </row>
    <row r="383" spans="1:14" x14ac:dyDescent="0.3">
      <c r="A383" s="246" t="s">
        <v>27</v>
      </c>
      <c r="B383" s="260" t="s">
        <v>36</v>
      </c>
      <c r="C383" s="260" t="s">
        <v>28</v>
      </c>
      <c r="D383" s="392">
        <v>1.0529999999999999</v>
      </c>
      <c r="E383" s="256">
        <v>0.26500000000000001</v>
      </c>
      <c r="F383" s="397">
        <f t="shared" ref="F382:F397" si="61">(D383*B$281+E383*C$281)/(B$281+C$281)</f>
        <v>0.41141025641025641</v>
      </c>
      <c r="G383" s="159">
        <f>(F383*D$281+F399*D$282+F415*D$283+F431*D$284+F447*D$285+F463*D$286+F479*D$287)/SUM(D$281:D$287)</f>
        <v>0.1138616652229945</v>
      </c>
      <c r="I383" s="138" t="s">
        <v>36</v>
      </c>
      <c r="J383" s="139">
        <f>G386</f>
        <v>-7.5170705427503033E-4</v>
      </c>
      <c r="K383" s="565">
        <f>G387</f>
        <v>-0.75702871146979911</v>
      </c>
      <c r="L383" s="140">
        <f>G388</f>
        <v>7.580803878900555E-2</v>
      </c>
      <c r="M383" s="141">
        <f>G389</f>
        <v>7.9548177804069031E-2</v>
      </c>
      <c r="N383" s="142">
        <f>G352</f>
        <v>1.2337163036359411</v>
      </c>
    </row>
    <row r="384" spans="1:14" x14ac:dyDescent="0.3">
      <c r="A384" s="246" t="s">
        <v>27</v>
      </c>
      <c r="B384" s="260" t="s">
        <v>37</v>
      </c>
      <c r="C384" s="260" t="s">
        <v>28</v>
      </c>
      <c r="D384" s="392">
        <v>1.0529999999999999</v>
      </c>
      <c r="E384" s="256">
        <v>0.26500000000000001</v>
      </c>
      <c r="F384" s="397">
        <f t="shared" si="61"/>
        <v>0.41141025641025641</v>
      </c>
      <c r="G384" s="159">
        <f t="shared" ref="G383:G397" si="62">(F384*D$281+F400*D$282+F416*D$283+F432*D$284+F448*D$285+F464*D$286+F480*D$287)/SUM(D$281:D$287)</f>
        <v>0.1138616652229945</v>
      </c>
      <c r="I384" s="138" t="s">
        <v>37</v>
      </c>
      <c r="J384" s="139">
        <f>G390</f>
        <v>-7.5170705427503033E-4</v>
      </c>
      <c r="K384" s="140">
        <f>G391</f>
        <v>7.580803878900555E-2</v>
      </c>
      <c r="L384" s="565">
        <f>G392</f>
        <v>-0.83543702702131706</v>
      </c>
      <c r="M384" s="141">
        <f>G393</f>
        <v>8.3436241100289438E-2</v>
      </c>
      <c r="N384" s="142">
        <f>G353</f>
        <v>1.3610398538017874</v>
      </c>
    </row>
    <row r="385" spans="1:14" ht="16.2" thickBot="1" x14ac:dyDescent="0.35">
      <c r="A385" s="246" t="s">
        <v>27</v>
      </c>
      <c r="B385" s="260" t="s">
        <v>38</v>
      </c>
      <c r="C385" s="260" t="s">
        <v>28</v>
      </c>
      <c r="D385" s="392">
        <v>1.0529999999999999</v>
      </c>
      <c r="E385" s="256">
        <v>0.26500000000000001</v>
      </c>
      <c r="F385" s="397">
        <f t="shared" si="61"/>
        <v>0.41141025641025641</v>
      </c>
      <c r="G385" s="159">
        <f t="shared" si="62"/>
        <v>0.1138616652229945</v>
      </c>
      <c r="I385" s="143" t="s">
        <v>38</v>
      </c>
      <c r="J385" s="144">
        <f>G394</f>
        <v>-7.5170705427503033E-4</v>
      </c>
      <c r="K385" s="145">
        <f>G395</f>
        <v>7.9548177804069031E-2</v>
      </c>
      <c r="L385" s="145">
        <f>G396</f>
        <v>8.3436241100289438E-2</v>
      </c>
      <c r="M385" s="566">
        <f>G397</f>
        <v>-0.91889739505207768</v>
      </c>
      <c r="N385" s="146">
        <f>G354</f>
        <v>1.4971614148691188</v>
      </c>
    </row>
    <row r="386" spans="1:14" x14ac:dyDescent="0.3">
      <c r="A386" s="246" t="s">
        <v>36</v>
      </c>
      <c r="B386" s="260" t="s">
        <v>27</v>
      </c>
      <c r="C386" s="260" t="s">
        <v>28</v>
      </c>
      <c r="D386" s="392">
        <v>1.2999999999999999E-2</v>
      </c>
      <c r="E386" s="256">
        <v>-1.4E-2</v>
      </c>
      <c r="F386" s="397">
        <f t="shared" si="61"/>
        <v>-8.9834049199531436E-3</v>
      </c>
      <c r="G386" s="159">
        <f t="shared" si="62"/>
        <v>-7.5170705427503033E-4</v>
      </c>
    </row>
    <row r="387" spans="1:14" x14ac:dyDescent="0.3">
      <c r="A387" s="246" t="s">
        <v>36</v>
      </c>
      <c r="B387" s="260" t="s">
        <v>36</v>
      </c>
      <c r="C387" s="260" t="s">
        <v>28</v>
      </c>
      <c r="D387" s="392">
        <v>-0.67800000000000005</v>
      </c>
      <c r="E387" s="256">
        <v>-0.72699999999999998</v>
      </c>
      <c r="F387" s="398">
        <f t="shared" si="61"/>
        <v>-0.71789580892880389</v>
      </c>
      <c r="G387" s="160">
        <f t="shared" si="62"/>
        <v>-0.75702871146979911</v>
      </c>
    </row>
    <row r="388" spans="1:14" x14ac:dyDescent="0.3">
      <c r="A388" s="246" t="s">
        <v>36</v>
      </c>
      <c r="B388" s="260" t="s">
        <v>37</v>
      </c>
      <c r="C388" s="260" t="s">
        <v>28</v>
      </c>
      <c r="D388" s="392">
        <v>6.8000000000000005E-2</v>
      </c>
      <c r="E388" s="256">
        <v>7.2999999999999995E-2</v>
      </c>
      <c r="F388" s="397">
        <f t="shared" si="61"/>
        <v>7.207100091110244E-2</v>
      </c>
      <c r="G388" s="159">
        <f t="shared" si="62"/>
        <v>7.580803878900555E-2</v>
      </c>
    </row>
    <row r="389" spans="1:14" x14ac:dyDescent="0.3">
      <c r="A389" s="246" t="s">
        <v>36</v>
      </c>
      <c r="B389" s="260" t="s">
        <v>38</v>
      </c>
      <c r="C389" s="260" t="s">
        <v>28</v>
      </c>
      <c r="D389" s="392">
        <v>7.1999999999999995E-2</v>
      </c>
      <c r="E389" s="256">
        <v>7.5999999999999998E-2</v>
      </c>
      <c r="F389" s="397">
        <f t="shared" si="61"/>
        <v>7.525680072888194E-2</v>
      </c>
      <c r="G389" s="159">
        <f t="shared" si="62"/>
        <v>7.9548177804069031E-2</v>
      </c>
    </row>
    <row r="390" spans="1:14" x14ac:dyDescent="0.3">
      <c r="A390" s="246" t="s">
        <v>37</v>
      </c>
      <c r="B390" s="260" t="s">
        <v>27</v>
      </c>
      <c r="C390" s="260" t="s">
        <v>28</v>
      </c>
      <c r="D390" s="392">
        <v>1.2999999999999999E-2</v>
      </c>
      <c r="E390" s="256">
        <v>-1.4E-2</v>
      </c>
      <c r="F390" s="397">
        <f t="shared" si="61"/>
        <v>-8.9834049199531436E-3</v>
      </c>
      <c r="G390" s="159">
        <f t="shared" si="62"/>
        <v>-7.5170705427503033E-4</v>
      </c>
    </row>
    <row r="391" spans="1:14" x14ac:dyDescent="0.3">
      <c r="A391" s="246" t="s">
        <v>37</v>
      </c>
      <c r="B391" s="260" t="s">
        <v>36</v>
      </c>
      <c r="C391" s="260" t="s">
        <v>28</v>
      </c>
      <c r="D391" s="392">
        <v>6.8000000000000005E-2</v>
      </c>
      <c r="E391" s="256">
        <v>7.2999999999999995E-2</v>
      </c>
      <c r="F391" s="397">
        <f t="shared" si="61"/>
        <v>7.207100091110244E-2</v>
      </c>
      <c r="G391" s="159">
        <f t="shared" si="62"/>
        <v>7.580803878900555E-2</v>
      </c>
    </row>
    <row r="392" spans="1:14" x14ac:dyDescent="0.3">
      <c r="A392" s="246" t="s">
        <v>37</v>
      </c>
      <c r="B392" s="260" t="s">
        <v>37</v>
      </c>
      <c r="C392" s="260" t="s">
        <v>28</v>
      </c>
      <c r="D392" s="392">
        <v>-0.753</v>
      </c>
      <c r="E392" s="256">
        <v>-0.8</v>
      </c>
      <c r="F392" s="398">
        <f t="shared" si="61"/>
        <v>-0.79126740856436295</v>
      </c>
      <c r="G392" s="160">
        <f t="shared" si="62"/>
        <v>-0.83543702702131706</v>
      </c>
    </row>
    <row r="393" spans="1:14" x14ac:dyDescent="0.3">
      <c r="A393" s="246" t="s">
        <v>37</v>
      </c>
      <c r="B393" s="260" t="s">
        <v>38</v>
      </c>
      <c r="C393" s="260" t="s">
        <v>28</v>
      </c>
      <c r="D393" s="392">
        <v>7.4999999999999997E-2</v>
      </c>
      <c r="E393" s="256">
        <v>0.08</v>
      </c>
      <c r="F393" s="397">
        <f t="shared" si="61"/>
        <v>7.9071000911102432E-2</v>
      </c>
      <c r="G393" s="159">
        <f t="shared" si="62"/>
        <v>8.3436241100289438E-2</v>
      </c>
    </row>
    <row r="394" spans="1:14" x14ac:dyDescent="0.3">
      <c r="A394" s="246" t="s">
        <v>38</v>
      </c>
      <c r="B394" s="260" t="s">
        <v>27</v>
      </c>
      <c r="C394" s="260" t="s">
        <v>28</v>
      </c>
      <c r="D394" s="392">
        <v>1.2999999999999999E-2</v>
      </c>
      <c r="E394" s="256">
        <v>-1.4E-2</v>
      </c>
      <c r="F394" s="397">
        <f t="shared" si="61"/>
        <v>-8.9834049199531436E-3</v>
      </c>
      <c r="G394" s="159">
        <f t="shared" si="62"/>
        <v>-7.5170705427503033E-4</v>
      </c>
    </row>
    <row r="395" spans="1:14" x14ac:dyDescent="0.3">
      <c r="A395" s="246" t="s">
        <v>38</v>
      </c>
      <c r="B395" s="260" t="s">
        <v>36</v>
      </c>
      <c r="C395" s="260" t="s">
        <v>28</v>
      </c>
      <c r="D395" s="392">
        <v>7.1999999999999995E-2</v>
      </c>
      <c r="E395" s="256">
        <v>7.5999999999999998E-2</v>
      </c>
      <c r="F395" s="397">
        <f t="shared" si="61"/>
        <v>7.525680072888194E-2</v>
      </c>
      <c r="G395" s="159">
        <f t="shared" si="62"/>
        <v>7.9548177804069031E-2</v>
      </c>
    </row>
    <row r="396" spans="1:14" x14ac:dyDescent="0.3">
      <c r="A396" s="246" t="s">
        <v>38</v>
      </c>
      <c r="B396" s="260" t="s">
        <v>37</v>
      </c>
      <c r="C396" s="260" t="s">
        <v>28</v>
      </c>
      <c r="D396" s="392">
        <v>7.4999999999999997E-2</v>
      </c>
      <c r="E396" s="256">
        <v>0.08</v>
      </c>
      <c r="F396" s="397">
        <f t="shared" si="61"/>
        <v>7.9071000911102432E-2</v>
      </c>
      <c r="G396" s="159">
        <f t="shared" si="62"/>
        <v>8.3436241100289438E-2</v>
      </c>
    </row>
    <row r="397" spans="1:14" ht="16.2" thickBot="1" x14ac:dyDescent="0.35">
      <c r="A397" s="249" t="s">
        <v>38</v>
      </c>
      <c r="B397" s="261" t="s">
        <v>38</v>
      </c>
      <c r="C397" s="261" t="s">
        <v>28</v>
      </c>
      <c r="D397" s="393">
        <v>-0.82899999999999996</v>
      </c>
      <c r="E397" s="269">
        <v>-0.88</v>
      </c>
      <c r="F397" s="399">
        <f t="shared" si="61"/>
        <v>-0.8705242092932447</v>
      </c>
      <c r="G397" s="161">
        <f t="shared" si="62"/>
        <v>-0.91889739505207768</v>
      </c>
    </row>
    <row r="398" spans="1:14" x14ac:dyDescent="0.3">
      <c r="A398" s="243" t="s">
        <v>27</v>
      </c>
      <c r="B398" s="258" t="s">
        <v>27</v>
      </c>
      <c r="C398" s="258" t="s">
        <v>29</v>
      </c>
      <c r="D398" s="395">
        <v>-0.56599999999999995</v>
      </c>
      <c r="E398" s="254">
        <v>-0.48</v>
      </c>
      <c r="F398" s="400">
        <f t="shared" ref="F398:F413" si="63">(D398*B$282+E398*C$282)/(B$282+C$282)</f>
        <v>-0.51477181170709985</v>
      </c>
    </row>
    <row r="399" spans="1:14" x14ac:dyDescent="0.3">
      <c r="A399" s="246" t="s">
        <v>27</v>
      </c>
      <c r="B399" s="260" t="s">
        <v>36</v>
      </c>
      <c r="C399" s="260" t="s">
        <v>29</v>
      </c>
      <c r="D399" s="392">
        <v>-0.19500000000000001</v>
      </c>
      <c r="E399" s="256">
        <v>-0.42199999999999999</v>
      </c>
      <c r="F399" s="401">
        <f t="shared" si="63"/>
        <v>-0.33021859002893389</v>
      </c>
    </row>
    <row r="400" spans="1:14" x14ac:dyDescent="0.3">
      <c r="A400" s="246" t="s">
        <v>27</v>
      </c>
      <c r="B400" s="260" t="s">
        <v>37</v>
      </c>
      <c r="C400" s="260" t="s">
        <v>29</v>
      </c>
      <c r="D400" s="392">
        <v>-0.19500000000000001</v>
      </c>
      <c r="E400" s="256">
        <v>-0.42199999999999999</v>
      </c>
      <c r="F400" s="401">
        <f t="shared" si="63"/>
        <v>-0.33021859002893389</v>
      </c>
    </row>
    <row r="401" spans="1:6" x14ac:dyDescent="0.3">
      <c r="A401" s="246" t="s">
        <v>27</v>
      </c>
      <c r="B401" s="260" t="s">
        <v>38</v>
      </c>
      <c r="C401" s="260" t="s">
        <v>29</v>
      </c>
      <c r="D401" s="392">
        <v>-0.19500000000000001</v>
      </c>
      <c r="E401" s="256">
        <v>-0.42199999999999999</v>
      </c>
      <c r="F401" s="401">
        <f t="shared" si="63"/>
        <v>-0.33021859002893389</v>
      </c>
    </row>
    <row r="402" spans="1:6" x14ac:dyDescent="0.3">
      <c r="A402" s="246" t="s">
        <v>36</v>
      </c>
      <c r="B402" s="260" t="s">
        <v>27</v>
      </c>
      <c r="C402" s="260" t="s">
        <v>29</v>
      </c>
      <c r="D402" s="392">
        <v>-2E-3</v>
      </c>
      <c r="E402" s="256">
        <v>-5.0000000000000001E-3</v>
      </c>
      <c r="F402" s="401">
        <f t="shared" si="63"/>
        <v>-3.7870298241709332E-3</v>
      </c>
    </row>
    <row r="403" spans="1:6" x14ac:dyDescent="0.3">
      <c r="A403" s="246" t="s">
        <v>36</v>
      </c>
      <c r="B403" s="260" t="s">
        <v>36</v>
      </c>
      <c r="C403" s="260" t="s">
        <v>29</v>
      </c>
      <c r="D403" s="392">
        <v>-0.57899999999999996</v>
      </c>
      <c r="E403" s="256">
        <v>-0.73199999999999998</v>
      </c>
      <c r="F403" s="402">
        <f t="shared" si="63"/>
        <v>-0.67013852103271754</v>
      </c>
    </row>
    <row r="404" spans="1:6" x14ac:dyDescent="0.3">
      <c r="A404" s="246" t="s">
        <v>36</v>
      </c>
      <c r="B404" s="260" t="s">
        <v>37</v>
      </c>
      <c r="C404" s="260" t="s">
        <v>29</v>
      </c>
      <c r="D404" s="392">
        <v>5.8000000000000003E-2</v>
      </c>
      <c r="E404" s="256">
        <v>7.2999999999999995E-2</v>
      </c>
      <c r="F404" s="401">
        <f t="shared" si="63"/>
        <v>6.6935149120854659E-2</v>
      </c>
    </row>
    <row r="405" spans="1:6" x14ac:dyDescent="0.3">
      <c r="A405" s="246" t="s">
        <v>36</v>
      </c>
      <c r="B405" s="260" t="s">
        <v>38</v>
      </c>
      <c r="C405" s="260" t="s">
        <v>29</v>
      </c>
      <c r="D405" s="392">
        <v>6.0999999999999999E-2</v>
      </c>
      <c r="E405" s="256">
        <v>7.6999999999999999E-2</v>
      </c>
      <c r="F405" s="401">
        <f t="shared" si="63"/>
        <v>7.0530825728911631E-2</v>
      </c>
    </row>
    <row r="406" spans="1:6" x14ac:dyDescent="0.3">
      <c r="A406" s="246" t="s">
        <v>37</v>
      </c>
      <c r="B406" s="260" t="s">
        <v>27</v>
      </c>
      <c r="C406" s="260" t="s">
        <v>29</v>
      </c>
      <c r="D406" s="392">
        <v>-2E-3</v>
      </c>
      <c r="E406" s="256">
        <v>-5.0000000000000001E-3</v>
      </c>
      <c r="F406" s="401">
        <f t="shared" si="63"/>
        <v>-3.7870298241709332E-3</v>
      </c>
    </row>
    <row r="407" spans="1:6" x14ac:dyDescent="0.3">
      <c r="A407" s="246" t="s">
        <v>37</v>
      </c>
      <c r="B407" s="260" t="s">
        <v>36</v>
      </c>
      <c r="C407" s="260" t="s">
        <v>29</v>
      </c>
      <c r="D407" s="392">
        <v>5.8000000000000003E-2</v>
      </c>
      <c r="E407" s="256">
        <v>7.2999999999999995E-2</v>
      </c>
      <c r="F407" s="401">
        <f t="shared" si="63"/>
        <v>6.6935149120854659E-2</v>
      </c>
    </row>
    <row r="408" spans="1:6" x14ac:dyDescent="0.3">
      <c r="A408" s="246" t="s">
        <v>37</v>
      </c>
      <c r="B408" s="260" t="s">
        <v>37</v>
      </c>
      <c r="C408" s="260" t="s">
        <v>29</v>
      </c>
      <c r="D408" s="392">
        <v>-0.64300000000000002</v>
      </c>
      <c r="E408" s="256">
        <v>-0.80500000000000005</v>
      </c>
      <c r="F408" s="402">
        <f t="shared" si="63"/>
        <v>-0.73949961050523039</v>
      </c>
    </row>
    <row r="409" spans="1:6" x14ac:dyDescent="0.3">
      <c r="A409" s="246" t="s">
        <v>37</v>
      </c>
      <c r="B409" s="260" t="s">
        <v>38</v>
      </c>
      <c r="C409" s="260" t="s">
        <v>29</v>
      </c>
      <c r="D409" s="392">
        <v>6.4000000000000001E-2</v>
      </c>
      <c r="E409" s="256">
        <v>0.08</v>
      </c>
      <c r="F409" s="401">
        <f t="shared" si="63"/>
        <v>7.3530825728911647E-2</v>
      </c>
    </row>
    <row r="410" spans="1:6" x14ac:dyDescent="0.3">
      <c r="A410" s="246" t="s">
        <v>38</v>
      </c>
      <c r="B410" s="260" t="s">
        <v>27</v>
      </c>
      <c r="C410" s="260" t="s">
        <v>29</v>
      </c>
      <c r="D410" s="392">
        <v>-2E-3</v>
      </c>
      <c r="E410" s="256">
        <v>-5.0000000000000001E-3</v>
      </c>
      <c r="F410" s="401">
        <f t="shared" si="63"/>
        <v>-3.7870298241709332E-3</v>
      </c>
    </row>
    <row r="411" spans="1:6" x14ac:dyDescent="0.3">
      <c r="A411" s="246" t="s">
        <v>38</v>
      </c>
      <c r="B411" s="260" t="s">
        <v>36</v>
      </c>
      <c r="C411" s="260" t="s">
        <v>29</v>
      </c>
      <c r="D411" s="392">
        <v>6.0999999999999999E-2</v>
      </c>
      <c r="E411" s="256">
        <v>7.6999999999999999E-2</v>
      </c>
      <c r="F411" s="401">
        <f t="shared" si="63"/>
        <v>7.0530825728911631E-2</v>
      </c>
    </row>
    <row r="412" spans="1:6" x14ac:dyDescent="0.3">
      <c r="A412" s="246" t="s">
        <v>38</v>
      </c>
      <c r="B412" s="260" t="s">
        <v>37</v>
      </c>
      <c r="C412" s="260" t="s">
        <v>29</v>
      </c>
      <c r="D412" s="392">
        <v>6.4000000000000001E-2</v>
      </c>
      <c r="E412" s="256">
        <v>0.08</v>
      </c>
      <c r="F412" s="401">
        <f t="shared" si="63"/>
        <v>7.3530825728911647E-2</v>
      </c>
    </row>
    <row r="413" spans="1:6" ht="16.2" thickBot="1" x14ac:dyDescent="0.35">
      <c r="A413" s="249" t="s">
        <v>38</v>
      </c>
      <c r="B413" s="261" t="s">
        <v>38</v>
      </c>
      <c r="C413" s="261" t="s">
        <v>29</v>
      </c>
      <c r="D413" s="393">
        <v>-0.70699999999999996</v>
      </c>
      <c r="E413" s="269">
        <v>-0.88500000000000001</v>
      </c>
      <c r="F413" s="403">
        <f t="shared" si="63"/>
        <v>-0.81303043623414206</v>
      </c>
    </row>
    <row r="414" spans="1:6" x14ac:dyDescent="0.3">
      <c r="A414" s="243" t="s">
        <v>27</v>
      </c>
      <c r="B414" s="258" t="s">
        <v>27</v>
      </c>
      <c r="C414" s="258" t="s">
        <v>30</v>
      </c>
      <c r="D414" s="395">
        <v>-0.46600000000000003</v>
      </c>
      <c r="E414" s="254">
        <v>-0.88900000000000001</v>
      </c>
      <c r="F414" s="400">
        <f t="shared" ref="F414:F429" si="64">(D414*B$283+E414*C$283)/(B$283+C$283)</f>
        <v>-0.79918987128323316</v>
      </c>
    </row>
    <row r="415" spans="1:6" x14ac:dyDescent="0.3">
      <c r="A415" s="246" t="s">
        <v>27</v>
      </c>
      <c r="B415" s="260" t="s">
        <v>36</v>
      </c>
      <c r="C415" s="260" t="s">
        <v>30</v>
      </c>
      <c r="D415" s="392">
        <v>0.159</v>
      </c>
      <c r="E415" s="256">
        <v>0.52400000000000002</v>
      </c>
      <c r="F415" s="401">
        <f t="shared" si="64"/>
        <v>0.44650426245479929</v>
      </c>
    </row>
    <row r="416" spans="1:6" x14ac:dyDescent="0.3">
      <c r="A416" s="246" t="s">
        <v>27</v>
      </c>
      <c r="B416" s="260" t="s">
        <v>37</v>
      </c>
      <c r="C416" s="260" t="s">
        <v>30</v>
      </c>
      <c r="D416" s="392">
        <v>0.159</v>
      </c>
      <c r="E416" s="256">
        <v>0.52400000000000002</v>
      </c>
      <c r="F416" s="401">
        <f t="shared" si="64"/>
        <v>0.44650426245479929</v>
      </c>
    </row>
    <row r="417" spans="1:6" x14ac:dyDescent="0.3">
      <c r="A417" s="246" t="s">
        <v>27</v>
      </c>
      <c r="B417" s="260" t="s">
        <v>38</v>
      </c>
      <c r="C417" s="260" t="s">
        <v>30</v>
      </c>
      <c r="D417" s="392">
        <v>0.159</v>
      </c>
      <c r="E417" s="256">
        <v>0.52400000000000002</v>
      </c>
      <c r="F417" s="401">
        <f t="shared" si="64"/>
        <v>0.44650426245479929</v>
      </c>
    </row>
    <row r="418" spans="1:6" x14ac:dyDescent="0.3">
      <c r="A418" s="246" t="s">
        <v>36</v>
      </c>
      <c r="B418" s="260" t="s">
        <v>27</v>
      </c>
      <c r="C418" s="260" t="s">
        <v>30</v>
      </c>
      <c r="D418" s="392">
        <v>2E-3</v>
      </c>
      <c r="E418" s="256">
        <v>8.0000000000000002E-3</v>
      </c>
      <c r="F418" s="401">
        <f t="shared" si="64"/>
        <v>6.7260974650103986E-3</v>
      </c>
    </row>
    <row r="419" spans="1:6" x14ac:dyDescent="0.3">
      <c r="A419" s="246" t="s">
        <v>36</v>
      </c>
      <c r="B419" s="260" t="s">
        <v>36</v>
      </c>
      <c r="C419" s="260" t="s">
        <v>30</v>
      </c>
      <c r="D419" s="392">
        <v>-0.65500000000000003</v>
      </c>
      <c r="E419" s="256">
        <v>-0.86499999999999999</v>
      </c>
      <c r="F419" s="402">
        <f t="shared" si="64"/>
        <v>-0.82041341127536394</v>
      </c>
    </row>
    <row r="420" spans="1:6" x14ac:dyDescent="0.3">
      <c r="A420" s="246" t="s">
        <v>36</v>
      </c>
      <c r="B420" s="260" t="s">
        <v>37</v>
      </c>
      <c r="C420" s="260" t="s">
        <v>30</v>
      </c>
      <c r="D420" s="392">
        <v>6.5000000000000002E-2</v>
      </c>
      <c r="E420" s="256">
        <v>8.6999999999999994E-2</v>
      </c>
      <c r="F420" s="401">
        <f t="shared" si="64"/>
        <v>8.2329024038371459E-2</v>
      </c>
    </row>
    <row r="421" spans="1:6" x14ac:dyDescent="0.3">
      <c r="A421" s="246" t="s">
        <v>36</v>
      </c>
      <c r="B421" s="260" t="s">
        <v>38</v>
      </c>
      <c r="C421" s="260" t="s">
        <v>30</v>
      </c>
      <c r="D421" s="392">
        <v>6.9000000000000006E-2</v>
      </c>
      <c r="E421" s="256">
        <v>9.0999999999999998E-2</v>
      </c>
      <c r="F421" s="401">
        <f t="shared" si="64"/>
        <v>8.6329024038371463E-2</v>
      </c>
    </row>
    <row r="422" spans="1:6" x14ac:dyDescent="0.3">
      <c r="A422" s="246" t="s">
        <v>37</v>
      </c>
      <c r="B422" s="260" t="s">
        <v>27</v>
      </c>
      <c r="C422" s="260" t="s">
        <v>30</v>
      </c>
      <c r="D422" s="392">
        <v>2E-3</v>
      </c>
      <c r="E422" s="256">
        <v>8.0000000000000002E-3</v>
      </c>
      <c r="F422" s="401">
        <f t="shared" si="64"/>
        <v>6.7260974650103986E-3</v>
      </c>
    </row>
    <row r="423" spans="1:6" x14ac:dyDescent="0.3">
      <c r="A423" s="246" t="s">
        <v>37</v>
      </c>
      <c r="B423" s="260" t="s">
        <v>36</v>
      </c>
      <c r="C423" s="260" t="s">
        <v>30</v>
      </c>
      <c r="D423" s="392">
        <v>6.5000000000000002E-2</v>
      </c>
      <c r="E423" s="256">
        <v>8.6999999999999994E-2</v>
      </c>
      <c r="F423" s="401">
        <f t="shared" si="64"/>
        <v>8.2329024038371459E-2</v>
      </c>
    </row>
    <row r="424" spans="1:6" x14ac:dyDescent="0.3">
      <c r="A424" s="246" t="s">
        <v>37</v>
      </c>
      <c r="B424" s="260" t="s">
        <v>37</v>
      </c>
      <c r="C424" s="260" t="s">
        <v>30</v>
      </c>
      <c r="D424" s="392">
        <v>-0.72699999999999998</v>
      </c>
      <c r="E424" s="256">
        <v>-0.95199999999999996</v>
      </c>
      <c r="F424" s="402">
        <f t="shared" si="64"/>
        <v>-0.90422865493788995</v>
      </c>
    </row>
    <row r="425" spans="1:6" x14ac:dyDescent="0.3">
      <c r="A425" s="246" t="s">
        <v>37</v>
      </c>
      <c r="B425" s="260" t="s">
        <v>38</v>
      </c>
      <c r="C425" s="260" t="s">
        <v>30</v>
      </c>
      <c r="D425" s="392">
        <v>7.2999999999999995E-2</v>
      </c>
      <c r="E425" s="256">
        <v>9.5000000000000001E-2</v>
      </c>
      <c r="F425" s="401">
        <f t="shared" si="64"/>
        <v>9.0329024038371453E-2</v>
      </c>
    </row>
    <row r="426" spans="1:6" x14ac:dyDescent="0.3">
      <c r="A426" s="246" t="s">
        <v>38</v>
      </c>
      <c r="B426" s="260" t="s">
        <v>27</v>
      </c>
      <c r="C426" s="260" t="s">
        <v>30</v>
      </c>
      <c r="D426" s="392">
        <v>2E-3</v>
      </c>
      <c r="E426" s="256">
        <v>8.0000000000000002E-3</v>
      </c>
      <c r="F426" s="401">
        <f t="shared" si="64"/>
        <v>6.7260974650103986E-3</v>
      </c>
    </row>
    <row r="427" spans="1:6" x14ac:dyDescent="0.3">
      <c r="A427" s="246" t="s">
        <v>38</v>
      </c>
      <c r="B427" s="260" t="s">
        <v>36</v>
      </c>
      <c r="C427" s="260" t="s">
        <v>30</v>
      </c>
      <c r="D427" s="392">
        <v>6.9000000000000006E-2</v>
      </c>
      <c r="E427" s="256">
        <v>9.0999999999999998E-2</v>
      </c>
      <c r="F427" s="401">
        <f t="shared" si="64"/>
        <v>8.6329024038371463E-2</v>
      </c>
    </row>
    <row r="428" spans="1:6" x14ac:dyDescent="0.3">
      <c r="A428" s="246" t="s">
        <v>38</v>
      </c>
      <c r="B428" s="260" t="s">
        <v>37</v>
      </c>
      <c r="C428" s="260" t="s">
        <v>30</v>
      </c>
      <c r="D428" s="392">
        <v>7.2999999999999995E-2</v>
      </c>
      <c r="E428" s="256">
        <v>9.5000000000000001E-2</v>
      </c>
      <c r="F428" s="401">
        <f t="shared" si="64"/>
        <v>9.0329024038371453E-2</v>
      </c>
    </row>
    <row r="429" spans="1:6" ht="16.2" thickBot="1" x14ac:dyDescent="0.35">
      <c r="A429" s="249" t="s">
        <v>38</v>
      </c>
      <c r="B429" s="261" t="s">
        <v>38</v>
      </c>
      <c r="C429" s="261" t="s">
        <v>30</v>
      </c>
      <c r="D429" s="393">
        <v>-0.8</v>
      </c>
      <c r="E429" s="269">
        <v>-1.0469999999999999</v>
      </c>
      <c r="F429" s="403">
        <f t="shared" si="64"/>
        <v>-0.99455767897626135</v>
      </c>
    </row>
    <row r="430" spans="1:6" x14ac:dyDescent="0.3">
      <c r="A430" s="243" t="s">
        <v>27</v>
      </c>
      <c r="B430" s="258" t="s">
        <v>27</v>
      </c>
      <c r="C430" s="258" t="s">
        <v>31</v>
      </c>
      <c r="D430" s="395">
        <v>-0.83499999999999996</v>
      </c>
      <c r="E430" s="254">
        <v>-0.69899999999999995</v>
      </c>
      <c r="F430" s="400">
        <f t="shared" ref="F430:F445" si="65">(D430*B$284+E430*C$284)/(B$284+C$284)</f>
        <v>-0.74989182822975176</v>
      </c>
    </row>
    <row r="431" spans="1:6" x14ac:dyDescent="0.3">
      <c r="A431" s="246" t="s">
        <v>27</v>
      </c>
      <c r="B431" s="260" t="s">
        <v>36</v>
      </c>
      <c r="C431" s="260" t="s">
        <v>31</v>
      </c>
      <c r="D431" s="392">
        <v>-0.57099999999999995</v>
      </c>
      <c r="E431" s="256">
        <v>0.504</v>
      </c>
      <c r="F431" s="401">
        <f t="shared" si="65"/>
        <v>0.10173003421335922</v>
      </c>
    </row>
    <row r="432" spans="1:6" x14ac:dyDescent="0.3">
      <c r="A432" s="246" t="s">
        <v>27</v>
      </c>
      <c r="B432" s="260" t="s">
        <v>37</v>
      </c>
      <c r="C432" s="260" t="s">
        <v>31</v>
      </c>
      <c r="D432" s="392">
        <v>-0.57099999999999995</v>
      </c>
      <c r="E432" s="256">
        <v>0.504</v>
      </c>
      <c r="F432" s="401">
        <f t="shared" si="65"/>
        <v>0.10173003421335922</v>
      </c>
    </row>
    <row r="433" spans="1:6" x14ac:dyDescent="0.3">
      <c r="A433" s="246" t="s">
        <v>27</v>
      </c>
      <c r="B433" s="260" t="s">
        <v>38</v>
      </c>
      <c r="C433" s="260" t="s">
        <v>31</v>
      </c>
      <c r="D433" s="392">
        <v>-0.57099999999999995</v>
      </c>
      <c r="E433" s="256">
        <v>0.504</v>
      </c>
      <c r="F433" s="401">
        <f t="shared" si="65"/>
        <v>0.10173003421335922</v>
      </c>
    </row>
    <row r="434" spans="1:6" x14ac:dyDescent="0.3">
      <c r="A434" s="246" t="s">
        <v>36</v>
      </c>
      <c r="B434" s="260" t="s">
        <v>27</v>
      </c>
      <c r="C434" s="260" t="s">
        <v>31</v>
      </c>
      <c r="D434" s="392">
        <v>-6.0000000000000001E-3</v>
      </c>
      <c r="E434" s="256">
        <v>7.0000000000000001E-3</v>
      </c>
      <c r="F434" s="401">
        <f t="shared" si="65"/>
        <v>2.1353399486266694E-3</v>
      </c>
    </row>
    <row r="435" spans="1:6" x14ac:dyDescent="0.3">
      <c r="A435" s="246" t="s">
        <v>36</v>
      </c>
      <c r="B435" s="260" t="s">
        <v>36</v>
      </c>
      <c r="C435" s="260" t="s">
        <v>31</v>
      </c>
      <c r="D435" s="392">
        <v>-0.70099999999999996</v>
      </c>
      <c r="E435" s="256">
        <v>-0.747</v>
      </c>
      <c r="F435" s="402">
        <f t="shared" si="65"/>
        <v>-0.72978658751052505</v>
      </c>
    </row>
    <row r="436" spans="1:6" x14ac:dyDescent="0.3">
      <c r="A436" s="246" t="s">
        <v>36</v>
      </c>
      <c r="B436" s="260" t="s">
        <v>37</v>
      </c>
      <c r="C436" s="260" t="s">
        <v>31</v>
      </c>
      <c r="D436" s="392">
        <v>7.0000000000000007E-2</v>
      </c>
      <c r="E436" s="256">
        <v>7.4999999999999997E-2</v>
      </c>
      <c r="F436" s="401">
        <f t="shared" si="65"/>
        <v>7.3128976903317947E-2</v>
      </c>
    </row>
    <row r="437" spans="1:6" x14ac:dyDescent="0.3">
      <c r="A437" s="246" t="s">
        <v>36</v>
      </c>
      <c r="B437" s="260" t="s">
        <v>38</v>
      </c>
      <c r="C437" s="260" t="s">
        <v>31</v>
      </c>
      <c r="D437" s="392">
        <v>7.3999999999999996E-2</v>
      </c>
      <c r="E437" s="256">
        <v>7.8E-2</v>
      </c>
      <c r="F437" s="401">
        <f t="shared" si="65"/>
        <v>7.6503181522654368E-2</v>
      </c>
    </row>
    <row r="438" spans="1:6" x14ac:dyDescent="0.3">
      <c r="A438" s="246" t="s">
        <v>37</v>
      </c>
      <c r="B438" s="260" t="s">
        <v>27</v>
      </c>
      <c r="C438" s="260" t="s">
        <v>31</v>
      </c>
      <c r="D438" s="392">
        <v>-6.0000000000000001E-3</v>
      </c>
      <c r="E438" s="256">
        <v>7.0000000000000001E-3</v>
      </c>
      <c r="F438" s="401">
        <f t="shared" si="65"/>
        <v>2.1353399486266694E-3</v>
      </c>
    </row>
    <row r="439" spans="1:6" x14ac:dyDescent="0.3">
      <c r="A439" s="246" t="s">
        <v>37</v>
      </c>
      <c r="B439" s="260" t="s">
        <v>36</v>
      </c>
      <c r="C439" s="260" t="s">
        <v>31</v>
      </c>
      <c r="D439" s="392">
        <v>7.0000000000000007E-2</v>
      </c>
      <c r="E439" s="256">
        <v>7.4999999999999997E-2</v>
      </c>
      <c r="F439" s="401">
        <f t="shared" si="65"/>
        <v>7.3128976903317947E-2</v>
      </c>
    </row>
    <row r="440" spans="1:6" x14ac:dyDescent="0.3">
      <c r="A440" s="246" t="s">
        <v>37</v>
      </c>
      <c r="B440" s="260" t="s">
        <v>37</v>
      </c>
      <c r="C440" s="260" t="s">
        <v>31</v>
      </c>
      <c r="D440" s="392">
        <v>-0.77900000000000003</v>
      </c>
      <c r="E440" s="256">
        <v>-0.82199999999999995</v>
      </c>
      <c r="F440" s="402">
        <f t="shared" si="65"/>
        <v>-0.80590920136853428</v>
      </c>
    </row>
    <row r="441" spans="1:6" x14ac:dyDescent="0.3">
      <c r="A441" s="246" t="s">
        <v>37</v>
      </c>
      <c r="B441" s="260" t="s">
        <v>38</v>
      </c>
      <c r="C441" s="260" t="s">
        <v>31</v>
      </c>
      <c r="D441" s="392">
        <v>7.8E-2</v>
      </c>
      <c r="E441" s="256">
        <v>8.2000000000000003E-2</v>
      </c>
      <c r="F441" s="401">
        <f t="shared" si="65"/>
        <v>8.0503181522654357E-2</v>
      </c>
    </row>
    <row r="442" spans="1:6" x14ac:dyDescent="0.3">
      <c r="A442" s="246" t="s">
        <v>38</v>
      </c>
      <c r="B442" s="260" t="s">
        <v>27</v>
      </c>
      <c r="C442" s="260" t="s">
        <v>31</v>
      </c>
      <c r="D442" s="392">
        <v>-6.0000000000000001E-3</v>
      </c>
      <c r="E442" s="256">
        <v>7.0000000000000001E-3</v>
      </c>
      <c r="F442" s="401">
        <f t="shared" si="65"/>
        <v>2.1353399486266694E-3</v>
      </c>
    </row>
    <row r="443" spans="1:6" x14ac:dyDescent="0.3">
      <c r="A443" s="246" t="s">
        <v>38</v>
      </c>
      <c r="B443" s="260" t="s">
        <v>36</v>
      </c>
      <c r="C443" s="260" t="s">
        <v>31</v>
      </c>
      <c r="D443" s="392">
        <v>7.3999999999999996E-2</v>
      </c>
      <c r="E443" s="256">
        <v>7.8E-2</v>
      </c>
      <c r="F443" s="401">
        <f t="shared" si="65"/>
        <v>7.6503181522654368E-2</v>
      </c>
    </row>
    <row r="444" spans="1:6" x14ac:dyDescent="0.3">
      <c r="A444" s="246" t="s">
        <v>38</v>
      </c>
      <c r="B444" s="260" t="s">
        <v>37</v>
      </c>
      <c r="C444" s="260" t="s">
        <v>31</v>
      </c>
      <c r="D444" s="392">
        <v>7.8E-2</v>
      </c>
      <c r="E444" s="256">
        <v>8.2000000000000003E-2</v>
      </c>
      <c r="F444" s="401">
        <f t="shared" si="65"/>
        <v>8.0503181522654357E-2</v>
      </c>
    </row>
    <row r="445" spans="1:6" ht="16.2" thickBot="1" x14ac:dyDescent="0.35">
      <c r="A445" s="249" t="s">
        <v>38</v>
      </c>
      <c r="B445" s="261" t="s">
        <v>38</v>
      </c>
      <c r="C445" s="261" t="s">
        <v>31</v>
      </c>
      <c r="D445" s="393">
        <v>-0.85699999999999998</v>
      </c>
      <c r="E445" s="269">
        <v>-0.90400000000000003</v>
      </c>
      <c r="F445" s="403">
        <f t="shared" si="65"/>
        <v>-0.88641238289118862</v>
      </c>
    </row>
    <row r="446" spans="1:6" x14ac:dyDescent="0.3">
      <c r="A446" s="243" t="s">
        <v>27</v>
      </c>
      <c r="B446" s="258" t="s">
        <v>27</v>
      </c>
      <c r="C446" s="258" t="s">
        <v>32</v>
      </c>
      <c r="D446" s="395">
        <v>-0.54100000000000004</v>
      </c>
      <c r="E446" s="254">
        <v>-0.70399999999999996</v>
      </c>
      <c r="F446" s="400">
        <f t="shared" ref="F446:F461" si="66">(D446*B$285+E446*C$285)/(B$285+C$285)</f>
        <v>-0.65579049208809548</v>
      </c>
    </row>
    <row r="447" spans="1:6" x14ac:dyDescent="0.3">
      <c r="A447" s="246" t="s">
        <v>27</v>
      </c>
      <c r="B447" s="260" t="s">
        <v>36</v>
      </c>
      <c r="C447" s="260" t="s">
        <v>32</v>
      </c>
      <c r="D447" s="392">
        <v>0.20599999999999999</v>
      </c>
      <c r="E447" s="256">
        <v>0.623</v>
      </c>
      <c r="F447" s="401">
        <f t="shared" si="66"/>
        <v>0.49966647362414618</v>
      </c>
    </row>
    <row r="448" spans="1:6" x14ac:dyDescent="0.3">
      <c r="A448" s="246" t="s">
        <v>27</v>
      </c>
      <c r="B448" s="260" t="s">
        <v>37</v>
      </c>
      <c r="C448" s="260" t="s">
        <v>32</v>
      </c>
      <c r="D448" s="392">
        <v>0.20599999999999999</v>
      </c>
      <c r="E448" s="256">
        <v>0.623</v>
      </c>
      <c r="F448" s="401">
        <f t="shared" si="66"/>
        <v>0.49966647362414618</v>
      </c>
    </row>
    <row r="449" spans="1:6" x14ac:dyDescent="0.3">
      <c r="A449" s="246" t="s">
        <v>27</v>
      </c>
      <c r="B449" s="260" t="s">
        <v>38</v>
      </c>
      <c r="C449" s="260" t="s">
        <v>32</v>
      </c>
      <c r="D449" s="392">
        <v>0.20599999999999999</v>
      </c>
      <c r="E449" s="256">
        <v>0.623</v>
      </c>
      <c r="F449" s="401">
        <f t="shared" si="66"/>
        <v>0.49966647362414618</v>
      </c>
    </row>
    <row r="450" spans="1:6" x14ac:dyDescent="0.3">
      <c r="A450" s="246" t="s">
        <v>36</v>
      </c>
      <c r="B450" s="260" t="s">
        <v>27</v>
      </c>
      <c r="C450" s="260" t="s">
        <v>32</v>
      </c>
      <c r="D450" s="392">
        <v>2E-3</v>
      </c>
      <c r="E450" s="256">
        <v>0.02</v>
      </c>
      <c r="F450" s="401">
        <f t="shared" si="66"/>
        <v>1.4676250660035089E-2</v>
      </c>
    </row>
    <row r="451" spans="1:6" x14ac:dyDescent="0.3">
      <c r="A451" s="246" t="s">
        <v>36</v>
      </c>
      <c r="B451" s="260" t="s">
        <v>36</v>
      </c>
      <c r="C451" s="260" t="s">
        <v>32</v>
      </c>
      <c r="D451" s="392">
        <v>-0.69199999999999995</v>
      </c>
      <c r="E451" s="256">
        <v>-0.81799999999999995</v>
      </c>
      <c r="F451" s="402">
        <f t="shared" si="66"/>
        <v>-0.78073375462024552</v>
      </c>
    </row>
    <row r="452" spans="1:6" x14ac:dyDescent="0.3">
      <c r="A452" s="246" t="s">
        <v>36</v>
      </c>
      <c r="B452" s="260" t="s">
        <v>37</v>
      </c>
      <c r="C452" s="260" t="s">
        <v>32</v>
      </c>
      <c r="D452" s="392">
        <v>6.9000000000000006E-2</v>
      </c>
      <c r="E452" s="256">
        <v>8.2000000000000003E-2</v>
      </c>
      <c r="F452" s="401">
        <f t="shared" si="66"/>
        <v>7.8155069921136452E-2</v>
      </c>
    </row>
    <row r="453" spans="1:6" x14ac:dyDescent="0.3">
      <c r="A453" s="246" t="s">
        <v>36</v>
      </c>
      <c r="B453" s="260" t="s">
        <v>38</v>
      </c>
      <c r="C453" s="260" t="s">
        <v>32</v>
      </c>
      <c r="D453" s="392">
        <v>7.2999999999999995E-2</v>
      </c>
      <c r="E453" s="256">
        <v>8.5999999999999993E-2</v>
      </c>
      <c r="F453" s="401">
        <f t="shared" si="66"/>
        <v>8.2155069921136442E-2</v>
      </c>
    </row>
    <row r="454" spans="1:6" x14ac:dyDescent="0.3">
      <c r="A454" s="246" t="s">
        <v>37</v>
      </c>
      <c r="B454" s="260" t="s">
        <v>27</v>
      </c>
      <c r="C454" s="260" t="s">
        <v>32</v>
      </c>
      <c r="D454" s="392">
        <v>2E-3</v>
      </c>
      <c r="E454" s="256">
        <v>0.02</v>
      </c>
      <c r="F454" s="401">
        <f t="shared" si="66"/>
        <v>1.4676250660035089E-2</v>
      </c>
    </row>
    <row r="455" spans="1:6" x14ac:dyDescent="0.3">
      <c r="A455" s="246" t="s">
        <v>37</v>
      </c>
      <c r="B455" s="260" t="s">
        <v>36</v>
      </c>
      <c r="C455" s="260" t="s">
        <v>32</v>
      </c>
      <c r="D455" s="392">
        <v>6.9000000000000006E-2</v>
      </c>
      <c r="E455" s="256">
        <v>8.2000000000000003E-2</v>
      </c>
      <c r="F455" s="401">
        <f t="shared" si="66"/>
        <v>7.8155069921136452E-2</v>
      </c>
    </row>
    <row r="456" spans="1:6" x14ac:dyDescent="0.3">
      <c r="A456" s="246" t="s">
        <v>37</v>
      </c>
      <c r="B456" s="260" t="s">
        <v>37</v>
      </c>
      <c r="C456" s="260" t="s">
        <v>32</v>
      </c>
      <c r="D456" s="392">
        <v>-0.76900000000000002</v>
      </c>
      <c r="E456" s="256">
        <v>-0.9</v>
      </c>
      <c r="F456" s="402">
        <f t="shared" si="66"/>
        <v>-0.86125493535914421</v>
      </c>
    </row>
    <row r="457" spans="1:6" x14ac:dyDescent="0.3">
      <c r="A457" s="246" t="s">
        <v>37</v>
      </c>
      <c r="B457" s="260" t="s">
        <v>38</v>
      </c>
      <c r="C457" s="260" t="s">
        <v>32</v>
      </c>
      <c r="D457" s="392">
        <v>7.6999999999999999E-2</v>
      </c>
      <c r="E457" s="256">
        <v>0.09</v>
      </c>
      <c r="F457" s="401">
        <f t="shared" si="66"/>
        <v>8.6155069921136446E-2</v>
      </c>
    </row>
    <row r="458" spans="1:6" x14ac:dyDescent="0.3">
      <c r="A458" s="246" t="s">
        <v>38</v>
      </c>
      <c r="B458" s="260" t="s">
        <v>27</v>
      </c>
      <c r="C458" s="260" t="s">
        <v>32</v>
      </c>
      <c r="D458" s="392">
        <v>2E-3</v>
      </c>
      <c r="E458" s="256">
        <v>0.02</v>
      </c>
      <c r="F458" s="401">
        <f t="shared" si="66"/>
        <v>1.4676250660035089E-2</v>
      </c>
    </row>
    <row r="459" spans="1:6" x14ac:dyDescent="0.3">
      <c r="A459" s="246" t="s">
        <v>38</v>
      </c>
      <c r="B459" s="260" t="s">
        <v>36</v>
      </c>
      <c r="C459" s="260" t="s">
        <v>32</v>
      </c>
      <c r="D459" s="392">
        <v>7.2999999999999995E-2</v>
      </c>
      <c r="E459" s="256">
        <v>8.5999999999999993E-2</v>
      </c>
      <c r="F459" s="401">
        <f t="shared" si="66"/>
        <v>8.2155069921136442E-2</v>
      </c>
    </row>
    <row r="460" spans="1:6" x14ac:dyDescent="0.3">
      <c r="A460" s="246" t="s">
        <v>38</v>
      </c>
      <c r="B460" s="260" t="s">
        <v>37</v>
      </c>
      <c r="C460" s="260" t="s">
        <v>32</v>
      </c>
      <c r="D460" s="392">
        <v>7.6999999999999999E-2</v>
      </c>
      <c r="E460" s="256">
        <v>0.09</v>
      </c>
      <c r="F460" s="401">
        <f t="shared" si="66"/>
        <v>8.6155069921136446E-2</v>
      </c>
    </row>
    <row r="461" spans="1:6" ht="16.2" thickBot="1" x14ac:dyDescent="0.35">
      <c r="A461" s="249" t="s">
        <v>38</v>
      </c>
      <c r="B461" s="261" t="s">
        <v>38</v>
      </c>
      <c r="C461" s="261" t="s">
        <v>32</v>
      </c>
      <c r="D461" s="393">
        <v>-0.84599999999999997</v>
      </c>
      <c r="E461" s="269">
        <v>-0.99</v>
      </c>
      <c r="F461" s="403">
        <f t="shared" si="66"/>
        <v>-0.94741000528028063</v>
      </c>
    </row>
    <row r="462" spans="1:6" x14ac:dyDescent="0.3">
      <c r="A462" s="243" t="s">
        <v>27</v>
      </c>
      <c r="B462" s="258" t="s">
        <v>27</v>
      </c>
      <c r="C462" s="258" t="s">
        <v>33</v>
      </c>
      <c r="D462" s="395">
        <v>-0.59299999999999997</v>
      </c>
      <c r="E462" s="254">
        <v>-0.85399999999999998</v>
      </c>
      <c r="F462" s="400">
        <f t="shared" ref="F462:F477" si="67">(D462*B$286+E462*C$286)/(B$286+C$286)</f>
        <v>-0.68949676414260019</v>
      </c>
    </row>
    <row r="463" spans="1:6" x14ac:dyDescent="0.3">
      <c r="A463" s="246" t="s">
        <v>27</v>
      </c>
      <c r="B463" s="260" t="s">
        <v>36</v>
      </c>
      <c r="C463" s="260" t="s">
        <v>33</v>
      </c>
      <c r="D463" s="392">
        <v>0.624</v>
      </c>
      <c r="E463" s="256">
        <v>-0.36799999999999999</v>
      </c>
      <c r="F463" s="401">
        <f t="shared" si="67"/>
        <v>0.25723835237754983</v>
      </c>
    </row>
    <row r="464" spans="1:6" x14ac:dyDescent="0.3">
      <c r="A464" s="246" t="s">
        <v>27</v>
      </c>
      <c r="B464" s="260" t="s">
        <v>37</v>
      </c>
      <c r="C464" s="260" t="s">
        <v>33</v>
      </c>
      <c r="D464" s="392">
        <v>0.624</v>
      </c>
      <c r="E464" s="256">
        <v>-0.36799999999999999</v>
      </c>
      <c r="F464" s="401">
        <f t="shared" si="67"/>
        <v>0.25723835237754983</v>
      </c>
    </row>
    <row r="465" spans="1:6" x14ac:dyDescent="0.3">
      <c r="A465" s="246" t="s">
        <v>27</v>
      </c>
      <c r="B465" s="260" t="s">
        <v>38</v>
      </c>
      <c r="C465" s="260" t="s">
        <v>33</v>
      </c>
      <c r="D465" s="392">
        <v>0.624</v>
      </c>
      <c r="E465" s="256">
        <v>-0.36799999999999999</v>
      </c>
      <c r="F465" s="401">
        <f t="shared" si="67"/>
        <v>0.25723835237754983</v>
      </c>
    </row>
    <row r="466" spans="1:6" x14ac:dyDescent="0.3">
      <c r="A466" s="246" t="s">
        <v>36</v>
      </c>
      <c r="B466" s="260" t="s">
        <v>27</v>
      </c>
      <c r="C466" s="260" t="s">
        <v>33</v>
      </c>
      <c r="D466" s="392">
        <v>4.0000000000000001E-3</v>
      </c>
      <c r="E466" s="256">
        <v>-1.0999999999999999E-2</v>
      </c>
      <c r="F466" s="401">
        <f t="shared" si="67"/>
        <v>-1.5457910426781773E-3</v>
      </c>
    </row>
    <row r="467" spans="1:6" x14ac:dyDescent="0.3">
      <c r="A467" s="246" t="s">
        <v>36</v>
      </c>
      <c r="B467" s="260" t="s">
        <v>36</v>
      </c>
      <c r="C467" s="260" t="s">
        <v>33</v>
      </c>
      <c r="D467" s="392">
        <v>-0.71299999999999997</v>
      </c>
      <c r="E467" s="256">
        <v>-0.83599999999999997</v>
      </c>
      <c r="F467" s="402">
        <f t="shared" si="67"/>
        <v>-0.758475486549961</v>
      </c>
    </row>
    <row r="468" spans="1:6" x14ac:dyDescent="0.3">
      <c r="A468" s="246" t="s">
        <v>36</v>
      </c>
      <c r="B468" s="260" t="s">
        <v>37</v>
      </c>
      <c r="C468" s="260" t="s">
        <v>33</v>
      </c>
      <c r="D468" s="392">
        <v>7.0999999999999994E-2</v>
      </c>
      <c r="E468" s="256">
        <v>8.4000000000000005E-2</v>
      </c>
      <c r="F468" s="401">
        <f t="shared" si="67"/>
        <v>7.5806352236987756E-2</v>
      </c>
    </row>
    <row r="469" spans="1:6" x14ac:dyDescent="0.3">
      <c r="A469" s="246" t="s">
        <v>36</v>
      </c>
      <c r="B469" s="260" t="s">
        <v>38</v>
      </c>
      <c r="C469" s="260" t="s">
        <v>33</v>
      </c>
      <c r="D469" s="392">
        <v>7.4999999999999997E-2</v>
      </c>
      <c r="E469" s="256">
        <v>8.7999999999999995E-2</v>
      </c>
      <c r="F469" s="401">
        <f t="shared" si="67"/>
        <v>7.980635223698776E-2</v>
      </c>
    </row>
    <row r="470" spans="1:6" x14ac:dyDescent="0.3">
      <c r="A470" s="246" t="s">
        <v>37</v>
      </c>
      <c r="B470" s="260" t="s">
        <v>27</v>
      </c>
      <c r="C470" s="260" t="s">
        <v>33</v>
      </c>
      <c r="D470" s="392">
        <v>4.0000000000000001E-3</v>
      </c>
      <c r="E470" s="256">
        <v>-1.0999999999999999E-2</v>
      </c>
      <c r="F470" s="401">
        <f t="shared" si="67"/>
        <v>-1.5457910426781773E-3</v>
      </c>
    </row>
    <row r="471" spans="1:6" x14ac:dyDescent="0.3">
      <c r="A471" s="246" t="s">
        <v>37</v>
      </c>
      <c r="B471" s="260" t="s">
        <v>36</v>
      </c>
      <c r="C471" s="260" t="s">
        <v>33</v>
      </c>
      <c r="D471" s="392">
        <v>7.0999999999999994E-2</v>
      </c>
      <c r="E471" s="256">
        <v>8.4000000000000005E-2</v>
      </c>
      <c r="F471" s="401">
        <f t="shared" si="67"/>
        <v>7.5806352236987756E-2</v>
      </c>
    </row>
    <row r="472" spans="1:6" x14ac:dyDescent="0.3">
      <c r="A472" s="246" t="s">
        <v>37</v>
      </c>
      <c r="B472" s="260" t="s">
        <v>37</v>
      </c>
      <c r="C472" s="260" t="s">
        <v>33</v>
      </c>
      <c r="D472" s="392">
        <v>-0.79300000000000004</v>
      </c>
      <c r="E472" s="256">
        <v>-0.92</v>
      </c>
      <c r="F472" s="402">
        <f t="shared" si="67"/>
        <v>-0.83995436416134206</v>
      </c>
    </row>
    <row r="473" spans="1:6" x14ac:dyDescent="0.3">
      <c r="A473" s="246" t="s">
        <v>37</v>
      </c>
      <c r="B473" s="260" t="s">
        <v>38</v>
      </c>
      <c r="C473" s="260" t="s">
        <v>33</v>
      </c>
      <c r="D473" s="392">
        <v>7.9000000000000001E-2</v>
      </c>
      <c r="E473" s="256">
        <v>9.1999999999999998E-2</v>
      </c>
      <c r="F473" s="401">
        <f t="shared" si="67"/>
        <v>8.3806352236987763E-2</v>
      </c>
    </row>
    <row r="474" spans="1:6" x14ac:dyDescent="0.3">
      <c r="A474" s="246" t="s">
        <v>38</v>
      </c>
      <c r="B474" s="260" t="s">
        <v>27</v>
      </c>
      <c r="C474" s="260" t="s">
        <v>33</v>
      </c>
      <c r="D474" s="392">
        <v>4.0000000000000001E-3</v>
      </c>
      <c r="E474" s="256">
        <v>-1.0999999999999999E-2</v>
      </c>
      <c r="F474" s="401">
        <f t="shared" si="67"/>
        <v>-1.5457910426781773E-3</v>
      </c>
    </row>
    <row r="475" spans="1:6" x14ac:dyDescent="0.3">
      <c r="A475" s="246" t="s">
        <v>38</v>
      </c>
      <c r="B475" s="260" t="s">
        <v>36</v>
      </c>
      <c r="C475" s="260" t="s">
        <v>33</v>
      </c>
      <c r="D475" s="392">
        <v>7.4999999999999997E-2</v>
      </c>
      <c r="E475" s="256">
        <v>8.7999999999999995E-2</v>
      </c>
      <c r="F475" s="401">
        <f t="shared" si="67"/>
        <v>7.980635223698776E-2</v>
      </c>
    </row>
    <row r="476" spans="1:6" x14ac:dyDescent="0.3">
      <c r="A476" s="246" t="s">
        <v>38</v>
      </c>
      <c r="B476" s="260" t="s">
        <v>37</v>
      </c>
      <c r="C476" s="260" t="s">
        <v>33</v>
      </c>
      <c r="D476" s="392">
        <v>7.9000000000000001E-2</v>
      </c>
      <c r="E476" s="256">
        <v>9.1999999999999998E-2</v>
      </c>
      <c r="F476" s="401">
        <f t="shared" si="67"/>
        <v>8.3806352236987763E-2</v>
      </c>
    </row>
    <row r="477" spans="1:6" ht="16.2" thickBot="1" x14ac:dyDescent="0.35">
      <c r="A477" s="249" t="s">
        <v>38</v>
      </c>
      <c r="B477" s="261" t="s">
        <v>38</v>
      </c>
      <c r="C477" s="261" t="s">
        <v>33</v>
      </c>
      <c r="D477" s="393">
        <v>-0.872</v>
      </c>
      <c r="E477" s="269">
        <v>-1.012</v>
      </c>
      <c r="F477" s="403">
        <f t="shared" si="67"/>
        <v>-0.92376071639832957</v>
      </c>
    </row>
    <row r="478" spans="1:6" x14ac:dyDescent="0.3">
      <c r="A478" s="243" t="s">
        <v>27</v>
      </c>
      <c r="B478" s="258" t="s">
        <v>27</v>
      </c>
      <c r="C478" s="258" t="s">
        <v>34</v>
      </c>
      <c r="D478" s="395">
        <v>-0.47799999999999998</v>
      </c>
      <c r="E478" s="254">
        <v>-0.74399999999999999</v>
      </c>
      <c r="F478" s="400">
        <f t="shared" ref="F478:F493" si="68">(D478*B$287+E478*C$287)/(B$287+C$287)</f>
        <v>-0.67601012092312718</v>
      </c>
    </row>
    <row r="479" spans="1:6" x14ac:dyDescent="0.3">
      <c r="A479" s="246" t="s">
        <v>27</v>
      </c>
      <c r="B479" s="260" t="s">
        <v>36</v>
      </c>
      <c r="C479" s="260" t="s">
        <v>34</v>
      </c>
      <c r="D479" s="392">
        <v>0.23200000000000001</v>
      </c>
      <c r="E479" s="256">
        <v>-9.5000000000000001E-2</v>
      </c>
      <c r="F479" s="401">
        <f t="shared" si="68"/>
        <v>-1.1418456924295276E-2</v>
      </c>
    </row>
    <row r="480" spans="1:6" x14ac:dyDescent="0.3">
      <c r="A480" s="246" t="s">
        <v>27</v>
      </c>
      <c r="B480" s="260" t="s">
        <v>37</v>
      </c>
      <c r="C480" s="260" t="s">
        <v>34</v>
      </c>
      <c r="D480" s="392">
        <v>0.23200000000000001</v>
      </c>
      <c r="E480" s="256">
        <v>-9.5000000000000001E-2</v>
      </c>
      <c r="F480" s="401">
        <f t="shared" si="68"/>
        <v>-1.1418456924295276E-2</v>
      </c>
    </row>
    <row r="481" spans="1:6" x14ac:dyDescent="0.3">
      <c r="A481" s="246" t="s">
        <v>27</v>
      </c>
      <c r="B481" s="260" t="s">
        <v>38</v>
      </c>
      <c r="C481" s="260" t="s">
        <v>34</v>
      </c>
      <c r="D481" s="392">
        <v>0.23200000000000001</v>
      </c>
      <c r="E481" s="256">
        <v>-9.5000000000000001E-2</v>
      </c>
      <c r="F481" s="401">
        <f t="shared" si="68"/>
        <v>-1.1418456924295276E-2</v>
      </c>
    </row>
    <row r="482" spans="1:6" x14ac:dyDescent="0.3">
      <c r="A482" s="246" t="s">
        <v>36</v>
      </c>
      <c r="B482" s="260" t="s">
        <v>27</v>
      </c>
      <c r="C482" s="260" t="s">
        <v>34</v>
      </c>
      <c r="D482" s="392">
        <v>2E-3</v>
      </c>
      <c r="E482" s="256">
        <v>-3.0000000000000001E-3</v>
      </c>
      <c r="F482" s="401">
        <f t="shared" si="68"/>
        <v>-1.7219947541941179E-3</v>
      </c>
    </row>
    <row r="483" spans="1:6" x14ac:dyDescent="0.3">
      <c r="A483" s="246" t="s">
        <v>36</v>
      </c>
      <c r="B483" s="260" t="s">
        <v>36</v>
      </c>
      <c r="C483" s="260" t="s">
        <v>34</v>
      </c>
      <c r="D483" s="392">
        <v>-0.68300000000000005</v>
      </c>
      <c r="E483" s="256">
        <v>-0.91600000000000004</v>
      </c>
      <c r="F483" s="402">
        <f t="shared" si="68"/>
        <v>-0.85644495554544597</v>
      </c>
    </row>
    <row r="484" spans="1:6" x14ac:dyDescent="0.3">
      <c r="A484" s="246" t="s">
        <v>36</v>
      </c>
      <c r="B484" s="260" t="s">
        <v>37</v>
      </c>
      <c r="C484" s="260" t="s">
        <v>34</v>
      </c>
      <c r="D484" s="392">
        <v>6.8000000000000005E-2</v>
      </c>
      <c r="E484" s="256">
        <v>9.1999999999999998E-2</v>
      </c>
      <c r="F484" s="401">
        <f t="shared" si="68"/>
        <v>8.5865574820131782E-2</v>
      </c>
    </row>
    <row r="485" spans="1:6" x14ac:dyDescent="0.3">
      <c r="A485" s="246" t="s">
        <v>36</v>
      </c>
      <c r="B485" s="260" t="s">
        <v>38</v>
      </c>
      <c r="C485" s="260" t="s">
        <v>34</v>
      </c>
      <c r="D485" s="392">
        <v>7.1999999999999995E-2</v>
      </c>
      <c r="E485" s="256">
        <v>9.6000000000000002E-2</v>
      </c>
      <c r="F485" s="401">
        <f t="shared" si="68"/>
        <v>8.9865574820131772E-2</v>
      </c>
    </row>
    <row r="486" spans="1:6" x14ac:dyDescent="0.3">
      <c r="A486" s="246" t="s">
        <v>37</v>
      </c>
      <c r="B486" s="260" t="s">
        <v>27</v>
      </c>
      <c r="C486" s="260" t="s">
        <v>34</v>
      </c>
      <c r="D486" s="392">
        <v>2E-3</v>
      </c>
      <c r="E486" s="256">
        <v>-3.0000000000000001E-3</v>
      </c>
      <c r="F486" s="401">
        <f t="shared" si="68"/>
        <v>-1.7219947541941179E-3</v>
      </c>
    </row>
    <row r="487" spans="1:6" x14ac:dyDescent="0.3">
      <c r="A487" s="246" t="s">
        <v>37</v>
      </c>
      <c r="B487" s="260" t="s">
        <v>36</v>
      </c>
      <c r="C487" s="260" t="s">
        <v>34</v>
      </c>
      <c r="D487" s="392">
        <v>6.8000000000000005E-2</v>
      </c>
      <c r="E487" s="256">
        <v>9.1999999999999998E-2</v>
      </c>
      <c r="F487" s="401">
        <f t="shared" si="68"/>
        <v>8.5865574820131782E-2</v>
      </c>
    </row>
    <row r="488" spans="1:6" x14ac:dyDescent="0.3">
      <c r="A488" s="246" t="s">
        <v>37</v>
      </c>
      <c r="B488" s="260" t="s">
        <v>37</v>
      </c>
      <c r="C488" s="260" t="s">
        <v>34</v>
      </c>
      <c r="D488" s="392">
        <v>-0.75900000000000001</v>
      </c>
      <c r="E488" s="256">
        <v>-1.0069999999999999</v>
      </c>
      <c r="F488" s="402">
        <f t="shared" si="68"/>
        <v>-0.94361093980802835</v>
      </c>
    </row>
    <row r="489" spans="1:6" x14ac:dyDescent="0.3">
      <c r="A489" s="246" t="s">
        <v>37</v>
      </c>
      <c r="B489" s="260" t="s">
        <v>38</v>
      </c>
      <c r="C489" s="260" t="s">
        <v>34</v>
      </c>
      <c r="D489" s="392">
        <v>7.5999999999999998E-2</v>
      </c>
      <c r="E489" s="256">
        <v>0.10100000000000001</v>
      </c>
      <c r="F489" s="401">
        <f t="shared" si="68"/>
        <v>9.4609973770970593E-2</v>
      </c>
    </row>
    <row r="490" spans="1:6" x14ac:dyDescent="0.3">
      <c r="A490" s="246" t="s">
        <v>38</v>
      </c>
      <c r="B490" s="260" t="s">
        <v>27</v>
      </c>
      <c r="C490" s="260" t="s">
        <v>34</v>
      </c>
      <c r="D490" s="392">
        <v>2E-3</v>
      </c>
      <c r="E490" s="256">
        <v>-3.0000000000000001E-3</v>
      </c>
      <c r="F490" s="401">
        <f t="shared" si="68"/>
        <v>-1.7219947541941179E-3</v>
      </c>
    </row>
    <row r="491" spans="1:6" x14ac:dyDescent="0.3">
      <c r="A491" s="246" t="s">
        <v>38</v>
      </c>
      <c r="B491" s="260" t="s">
        <v>36</v>
      </c>
      <c r="C491" s="260" t="s">
        <v>34</v>
      </c>
      <c r="D491" s="392">
        <v>7.1999999999999995E-2</v>
      </c>
      <c r="E491" s="256">
        <v>9.6000000000000002E-2</v>
      </c>
      <c r="F491" s="401">
        <f t="shared" si="68"/>
        <v>8.9865574820131772E-2</v>
      </c>
    </row>
    <row r="492" spans="1:6" x14ac:dyDescent="0.3">
      <c r="A492" s="246" t="s">
        <v>38</v>
      </c>
      <c r="B492" s="260" t="s">
        <v>37</v>
      </c>
      <c r="C492" s="260" t="s">
        <v>34</v>
      </c>
      <c r="D492" s="392">
        <v>7.5999999999999998E-2</v>
      </c>
      <c r="E492" s="256">
        <v>0.10100000000000001</v>
      </c>
      <c r="F492" s="401">
        <f t="shared" si="68"/>
        <v>9.4609973770970593E-2</v>
      </c>
    </row>
    <row r="493" spans="1:6" ht="16.2" thickBot="1" x14ac:dyDescent="0.35">
      <c r="A493" s="249" t="s">
        <v>38</v>
      </c>
      <c r="B493" s="261" t="s">
        <v>38</v>
      </c>
      <c r="C493" s="261" t="s">
        <v>34</v>
      </c>
      <c r="D493" s="393">
        <v>-0.83499999999999996</v>
      </c>
      <c r="E493" s="269">
        <v>-1.1080000000000001</v>
      </c>
      <c r="F493" s="403">
        <f t="shared" si="68"/>
        <v>-1.0382209135789988</v>
      </c>
    </row>
    <row r="494" spans="1:6" x14ac:dyDescent="0.3">
      <c r="A494" s="5" t="s">
        <v>67</v>
      </c>
    </row>
    <row r="495" spans="1:6" ht="16.2" thickBot="1" x14ac:dyDescent="0.35">
      <c r="A495" s="147" t="s">
        <v>69</v>
      </c>
    </row>
    <row r="496" spans="1:6" ht="16.2" thickBot="1" x14ac:dyDescent="0.35">
      <c r="A496" s="313"/>
      <c r="B496" s="391" t="s">
        <v>27</v>
      </c>
    </row>
    <row r="497" spans="1:15" ht="16.2" thickBot="1" x14ac:dyDescent="0.35">
      <c r="A497" s="249" t="s">
        <v>27</v>
      </c>
      <c r="B497" s="269">
        <v>-0.3</v>
      </c>
      <c r="K497" s="4" t="s">
        <v>183</v>
      </c>
    </row>
    <row r="498" spans="1:15" x14ac:dyDescent="0.3">
      <c r="K498" s="7" t="s">
        <v>240</v>
      </c>
    </row>
    <row r="499" spans="1:15" ht="16.2" thickBot="1" x14ac:dyDescent="0.35">
      <c r="A499" s="147" t="s">
        <v>183</v>
      </c>
      <c r="G499" s="7" t="s">
        <v>194</v>
      </c>
      <c r="K499" s="181" t="s">
        <v>238</v>
      </c>
    </row>
    <row r="500" spans="1:15" ht="16.2" thickBot="1" x14ac:dyDescent="0.35">
      <c r="A500" s="243"/>
      <c r="B500" s="404" t="s">
        <v>27</v>
      </c>
      <c r="C500" s="404" t="s">
        <v>36</v>
      </c>
      <c r="D500" s="404" t="s">
        <v>37</v>
      </c>
      <c r="E500" s="234" t="s">
        <v>38</v>
      </c>
      <c r="K500" s="200"/>
      <c r="L500" s="405" t="s">
        <v>27</v>
      </c>
      <c r="M500" s="405" t="s">
        <v>36</v>
      </c>
      <c r="N500" s="405" t="s">
        <v>37</v>
      </c>
      <c r="O500" s="202" t="s">
        <v>38</v>
      </c>
    </row>
    <row r="501" spans="1:15" x14ac:dyDescent="0.3">
      <c r="A501" s="213">
        <v>2018</v>
      </c>
      <c r="B501" s="406">
        <v>0</v>
      </c>
      <c r="C501" s="407">
        <v>0</v>
      </c>
      <c r="D501" s="407">
        <v>0</v>
      </c>
      <c r="E501" s="408">
        <v>0</v>
      </c>
      <c r="F501" s="295">
        <v>0</v>
      </c>
      <c r="G501" s="295">
        <v>0</v>
      </c>
      <c r="H501" s="295">
        <v>0</v>
      </c>
      <c r="I501" s="295">
        <v>0</v>
      </c>
      <c r="K501" s="409">
        <v>2014</v>
      </c>
      <c r="L501" s="410">
        <v>0</v>
      </c>
      <c r="M501" s="411">
        <v>0</v>
      </c>
      <c r="N501" s="411">
        <v>0</v>
      </c>
      <c r="O501" s="412">
        <v>0</v>
      </c>
    </row>
    <row r="502" spans="1:15" x14ac:dyDescent="0.3">
      <c r="A502" s="220">
        <v>2019</v>
      </c>
      <c r="B502" s="413">
        <v>3.6600000000000001E-2</v>
      </c>
      <c r="C502" s="414">
        <v>-3.56E-2</v>
      </c>
      <c r="D502" s="414">
        <v>-3.56E-2</v>
      </c>
      <c r="E502" s="415">
        <v>-3.56E-2</v>
      </c>
      <c r="F502" s="295">
        <f t="shared" ref="F502:F513" si="69">B502-0.01</f>
        <v>2.6599999999999999E-2</v>
      </c>
      <c r="G502" s="295">
        <f t="shared" ref="G502:G513" si="70">C502-0.01</f>
        <v>-4.5600000000000002E-2</v>
      </c>
      <c r="H502" s="295">
        <f t="shared" ref="H502:H513" si="71">D502-0.01</f>
        <v>-4.5600000000000002E-2</v>
      </c>
      <c r="I502" s="295">
        <f t="shared" ref="I502:I512" si="72">E502-0.01</f>
        <v>-4.5600000000000002E-2</v>
      </c>
      <c r="K502" s="416">
        <v>2015</v>
      </c>
      <c r="L502" s="417">
        <v>9.2600000000000002E-2</v>
      </c>
      <c r="M502" s="418">
        <v>-3.56E-2</v>
      </c>
      <c r="N502" s="418">
        <v>-3.56E-2</v>
      </c>
      <c r="O502" s="419">
        <v>-3.56E-2</v>
      </c>
    </row>
    <row r="503" spans="1:15" x14ac:dyDescent="0.3">
      <c r="A503" s="220">
        <v>2020</v>
      </c>
      <c r="B503" s="413">
        <v>1.7600000000000001E-2</v>
      </c>
      <c r="C503" s="414">
        <v>3.1399999999999997E-2</v>
      </c>
      <c r="D503" s="414">
        <v>3.1399999999999997E-2</v>
      </c>
      <c r="E503" s="415">
        <v>3.1399999999999997E-2</v>
      </c>
      <c r="F503" s="295">
        <f t="shared" si="69"/>
        <v>7.6000000000000009E-3</v>
      </c>
      <c r="G503" s="295">
        <f t="shared" si="70"/>
        <v>2.1399999999999995E-2</v>
      </c>
      <c r="H503" s="295">
        <f t="shared" si="71"/>
        <v>2.1399999999999995E-2</v>
      </c>
      <c r="I503" s="295">
        <f t="shared" si="72"/>
        <v>2.1399999999999995E-2</v>
      </c>
      <c r="K503" s="416">
        <v>2016</v>
      </c>
      <c r="L503" s="417">
        <v>-0.11990000000000001</v>
      </c>
      <c r="M503" s="418">
        <v>3.1399999999999997E-2</v>
      </c>
      <c r="N503" s="418">
        <v>3.1399999999999997E-2</v>
      </c>
      <c r="O503" s="419">
        <v>3.1399999999999997E-2</v>
      </c>
    </row>
    <row r="504" spans="1:15" x14ac:dyDescent="0.3">
      <c r="A504" s="220">
        <v>2021</v>
      </c>
      <c r="B504" s="413">
        <v>2.3099999999999999E-2</v>
      </c>
      <c r="C504" s="414">
        <v>-1.11E-2</v>
      </c>
      <c r="D504" s="414">
        <v>-1.11E-2</v>
      </c>
      <c r="E504" s="415">
        <v>-1.11E-2</v>
      </c>
      <c r="F504" s="295">
        <f t="shared" si="69"/>
        <v>1.3099999999999999E-2</v>
      </c>
      <c r="G504" s="295">
        <f t="shared" si="70"/>
        <v>-2.1100000000000001E-2</v>
      </c>
      <c r="H504" s="295">
        <f t="shared" si="71"/>
        <v>-2.1100000000000001E-2</v>
      </c>
      <c r="I504" s="295">
        <f t="shared" si="72"/>
        <v>-2.1100000000000001E-2</v>
      </c>
      <c r="K504" s="416">
        <v>2017</v>
      </c>
      <c r="L504" s="417">
        <v>-9.9000000000000008E-3</v>
      </c>
      <c r="M504" s="418">
        <v>-1.11E-2</v>
      </c>
      <c r="N504" s="418">
        <v>-1.11E-2</v>
      </c>
      <c r="O504" s="419">
        <v>-1.11E-2</v>
      </c>
    </row>
    <row r="505" spans="1:15" x14ac:dyDescent="0.3">
      <c r="A505" s="220">
        <v>2022</v>
      </c>
      <c r="B505" s="413">
        <v>2.2599999999999999E-2</v>
      </c>
      <c r="C505" s="414">
        <v>-1.5900000000000001E-2</v>
      </c>
      <c r="D505" s="414">
        <v>-1.5900000000000001E-2</v>
      </c>
      <c r="E505" s="415">
        <v>-1.5900000000000001E-2</v>
      </c>
      <c r="F505" s="295">
        <f t="shared" si="69"/>
        <v>1.2599999999999998E-2</v>
      </c>
      <c r="G505" s="295">
        <f t="shared" si="70"/>
        <v>-2.5899999999999999E-2</v>
      </c>
      <c r="H505" s="295">
        <f t="shared" si="71"/>
        <v>-2.5899999999999999E-2</v>
      </c>
      <c r="I505" s="295">
        <f t="shared" si="72"/>
        <v>-2.5899999999999999E-2</v>
      </c>
      <c r="K505" s="416">
        <v>2018</v>
      </c>
      <c r="L505" s="417">
        <v>2.0299999999999999E-2</v>
      </c>
      <c r="M505" s="418">
        <v>-1.5900000000000001E-2</v>
      </c>
      <c r="N505" s="418">
        <v>-1.5900000000000001E-2</v>
      </c>
      <c r="O505" s="419">
        <v>-1.5900000000000001E-2</v>
      </c>
    </row>
    <row r="506" spans="1:15" x14ac:dyDescent="0.3">
      <c r="A506" s="220">
        <v>2023</v>
      </c>
      <c r="B506" s="413">
        <v>1.9900000000000001E-2</v>
      </c>
      <c r="C506" s="414">
        <v>-1.6199999999999999E-2</v>
      </c>
      <c r="D506" s="414">
        <v>-1.6199999999999999E-2</v>
      </c>
      <c r="E506" s="415">
        <v>-1.6199999999999999E-2</v>
      </c>
      <c r="F506" s="295">
        <f t="shared" si="69"/>
        <v>9.9000000000000008E-3</v>
      </c>
      <c r="G506" s="295">
        <f t="shared" si="70"/>
        <v>-2.6200000000000001E-2</v>
      </c>
      <c r="H506" s="295">
        <f t="shared" si="71"/>
        <v>-2.6200000000000001E-2</v>
      </c>
      <c r="I506" s="295">
        <f t="shared" si="72"/>
        <v>-2.6200000000000001E-2</v>
      </c>
      <c r="K506" s="416">
        <v>2019</v>
      </c>
      <c r="L506" s="417">
        <v>2.0299999999999999E-2</v>
      </c>
      <c r="M506" s="418">
        <v>-1.6199999999999999E-2</v>
      </c>
      <c r="N506" s="418">
        <v>-1.6199999999999999E-2</v>
      </c>
      <c r="O506" s="419">
        <v>-1.6199999999999999E-2</v>
      </c>
    </row>
    <row r="507" spans="1:15" x14ac:dyDescent="0.3">
      <c r="A507" s="220">
        <v>2024</v>
      </c>
      <c r="B507" s="413">
        <v>1.9900000000000001E-2</v>
      </c>
      <c r="C507" s="414">
        <v>-1.5800000000000002E-2</v>
      </c>
      <c r="D507" s="414">
        <v>-1.5800000000000002E-2</v>
      </c>
      <c r="E507" s="415">
        <v>-1.5800000000000002E-2</v>
      </c>
      <c r="F507" s="295">
        <f t="shared" si="69"/>
        <v>9.9000000000000008E-3</v>
      </c>
      <c r="G507" s="295">
        <f t="shared" si="70"/>
        <v>-2.5800000000000003E-2</v>
      </c>
      <c r="H507" s="295">
        <f t="shared" si="71"/>
        <v>-2.5800000000000003E-2</v>
      </c>
      <c r="I507" s="295">
        <f t="shared" si="72"/>
        <v>-2.5800000000000003E-2</v>
      </c>
      <c r="K507" s="416">
        <v>2020</v>
      </c>
      <c r="L507" s="417">
        <v>2.0199999999999999E-2</v>
      </c>
      <c r="M507" s="418">
        <v>-1.5800000000000002E-2</v>
      </c>
      <c r="N507" s="418">
        <v>-1.5800000000000002E-2</v>
      </c>
      <c r="O507" s="419">
        <v>-1.5800000000000002E-2</v>
      </c>
    </row>
    <row r="508" spans="1:15" x14ac:dyDescent="0.3">
      <c r="A508" s="220">
        <v>2025</v>
      </c>
      <c r="B508" s="413">
        <v>1.9900000000000001E-2</v>
      </c>
      <c r="C508" s="414">
        <v>-1.61E-2</v>
      </c>
      <c r="D508" s="414">
        <v>-1.61E-2</v>
      </c>
      <c r="E508" s="415">
        <v>-1.61E-2</v>
      </c>
      <c r="F508" s="295">
        <f t="shared" si="69"/>
        <v>9.9000000000000008E-3</v>
      </c>
      <c r="G508" s="295">
        <f t="shared" si="70"/>
        <v>-2.6099999999999998E-2</v>
      </c>
      <c r="H508" s="295">
        <f t="shared" si="71"/>
        <v>-2.6099999999999998E-2</v>
      </c>
      <c r="I508" s="295">
        <f t="shared" si="72"/>
        <v>-2.6099999999999998E-2</v>
      </c>
      <c r="K508" s="416">
        <v>2021</v>
      </c>
      <c r="L508" s="417">
        <v>2.0199999999999999E-2</v>
      </c>
      <c r="M508" s="418">
        <v>-1.61E-2</v>
      </c>
      <c r="N508" s="418">
        <v>-1.61E-2</v>
      </c>
      <c r="O508" s="419">
        <v>-1.61E-2</v>
      </c>
    </row>
    <row r="509" spans="1:15" x14ac:dyDescent="0.3">
      <c r="A509" s="220">
        <v>2026</v>
      </c>
      <c r="B509" s="413">
        <v>1.8100000000000002E-2</v>
      </c>
      <c r="C509" s="414">
        <v>-1.5800000000000002E-2</v>
      </c>
      <c r="D509" s="414">
        <v>-1.5800000000000002E-2</v>
      </c>
      <c r="E509" s="415">
        <v>-1.5800000000000002E-2</v>
      </c>
      <c r="F509" s="295">
        <f t="shared" si="69"/>
        <v>8.1000000000000013E-3</v>
      </c>
      <c r="G509" s="295">
        <f t="shared" si="70"/>
        <v>-2.5800000000000003E-2</v>
      </c>
      <c r="H509" s="295">
        <f t="shared" si="71"/>
        <v>-2.5800000000000003E-2</v>
      </c>
      <c r="I509" s="295">
        <f t="shared" si="72"/>
        <v>-2.5800000000000003E-2</v>
      </c>
      <c r="K509" s="416">
        <v>2022</v>
      </c>
      <c r="L509" s="417">
        <v>2.0299999999999999E-2</v>
      </c>
      <c r="M509" s="418">
        <v>-1.5800000000000002E-2</v>
      </c>
      <c r="N509" s="418">
        <v>-1.5800000000000002E-2</v>
      </c>
      <c r="O509" s="419">
        <v>-1.5800000000000002E-2</v>
      </c>
    </row>
    <row r="510" spans="1:15" x14ac:dyDescent="0.3">
      <c r="A510" s="220">
        <v>2027</v>
      </c>
      <c r="B510" s="413">
        <v>1.8100000000000002E-2</v>
      </c>
      <c r="C510" s="414">
        <v>-1.6E-2</v>
      </c>
      <c r="D510" s="414">
        <v>-1.6E-2</v>
      </c>
      <c r="E510" s="415">
        <v>-1.6E-2</v>
      </c>
      <c r="F510" s="295">
        <f t="shared" si="69"/>
        <v>8.1000000000000013E-3</v>
      </c>
      <c r="G510" s="295">
        <f t="shared" si="70"/>
        <v>-2.6000000000000002E-2</v>
      </c>
      <c r="H510" s="295">
        <f t="shared" si="71"/>
        <v>-2.6000000000000002E-2</v>
      </c>
      <c r="I510" s="295">
        <f t="shared" si="72"/>
        <v>-2.6000000000000002E-2</v>
      </c>
      <c r="K510" s="416">
        <v>2023</v>
      </c>
      <c r="L510" s="417">
        <v>2.0199999999999999E-2</v>
      </c>
      <c r="M510" s="418">
        <v>-1.6E-2</v>
      </c>
      <c r="N510" s="418">
        <v>-1.6E-2</v>
      </c>
      <c r="O510" s="419">
        <v>-1.6E-2</v>
      </c>
    </row>
    <row r="511" spans="1:15" x14ac:dyDescent="0.3">
      <c r="A511" s="220">
        <v>2028</v>
      </c>
      <c r="B511" s="413">
        <v>1.8100000000000002E-2</v>
      </c>
      <c r="C511" s="414">
        <v>-1.5599999999999999E-2</v>
      </c>
      <c r="D511" s="414">
        <v>-1.5599999999999999E-2</v>
      </c>
      <c r="E511" s="415">
        <v>-1.5599999999999999E-2</v>
      </c>
      <c r="F511" s="295">
        <f t="shared" si="69"/>
        <v>8.1000000000000013E-3</v>
      </c>
      <c r="G511" s="295">
        <f t="shared" si="70"/>
        <v>-2.5599999999999998E-2</v>
      </c>
      <c r="H511" s="295">
        <f t="shared" si="71"/>
        <v>-2.5599999999999998E-2</v>
      </c>
      <c r="I511" s="295">
        <f t="shared" si="72"/>
        <v>-2.5599999999999998E-2</v>
      </c>
      <c r="K511" s="416">
        <v>2024</v>
      </c>
      <c r="L511" s="417">
        <v>2.0299999999999999E-2</v>
      </c>
      <c r="M511" s="418">
        <v>-1.5599999999999999E-2</v>
      </c>
      <c r="N511" s="418">
        <v>-1.5599999999999999E-2</v>
      </c>
      <c r="O511" s="419">
        <v>-1.5599999999999999E-2</v>
      </c>
    </row>
    <row r="512" spans="1:15" ht="16.2" thickBot="1" x14ac:dyDescent="0.35">
      <c r="A512" s="220">
        <v>2029</v>
      </c>
      <c r="B512" s="413">
        <v>1.8100000000000002E-2</v>
      </c>
      <c r="C512" s="414">
        <v>-1.5900000000000001E-2</v>
      </c>
      <c r="D512" s="414">
        <v>-1.5900000000000001E-2</v>
      </c>
      <c r="E512" s="415">
        <v>-1.5900000000000001E-2</v>
      </c>
      <c r="F512" s="295">
        <f t="shared" si="69"/>
        <v>8.1000000000000013E-3</v>
      </c>
      <c r="G512" s="295">
        <f t="shared" si="70"/>
        <v>-2.5899999999999999E-2</v>
      </c>
      <c r="H512" s="295">
        <f t="shared" si="71"/>
        <v>-2.5899999999999999E-2</v>
      </c>
      <c r="I512" s="295">
        <f t="shared" si="72"/>
        <v>-2.5899999999999999E-2</v>
      </c>
      <c r="K512" s="420">
        <v>2025</v>
      </c>
      <c r="L512" s="421">
        <v>2.0299999999999999E-2</v>
      </c>
      <c r="M512" s="422">
        <v>-1.5900000000000001E-2</v>
      </c>
      <c r="N512" s="422">
        <v>-1.5900000000000001E-2</v>
      </c>
      <c r="O512" s="423">
        <v>-1.5900000000000001E-2</v>
      </c>
    </row>
    <row r="513" spans="1:15" ht="16.2" thickBot="1" x14ac:dyDescent="0.35">
      <c r="A513" s="424">
        <v>2030</v>
      </c>
      <c r="B513" s="425">
        <v>1.8100000000000002E-2</v>
      </c>
      <c r="C513" s="426">
        <v>-1.5900000000000001E-2</v>
      </c>
      <c r="D513" s="426">
        <v>-1.5900000000000001E-2</v>
      </c>
      <c r="E513" s="427">
        <v>-1.5900000000000001E-2</v>
      </c>
      <c r="F513" s="295">
        <f t="shared" si="69"/>
        <v>8.1000000000000013E-3</v>
      </c>
      <c r="G513" s="295">
        <f t="shared" si="70"/>
        <v>-2.5899999999999999E-2</v>
      </c>
      <c r="H513" s="295">
        <f t="shared" si="71"/>
        <v>-2.5899999999999999E-2</v>
      </c>
      <c r="I513" s="295">
        <f t="shared" ref="I513" si="73">E513-0.01</f>
        <v>-2.5899999999999999E-2</v>
      </c>
      <c r="K513" s="428"/>
      <c r="L513" s="418"/>
      <c r="M513" s="418"/>
      <c r="N513" s="418"/>
      <c r="O513" s="418"/>
    </row>
    <row r="514" spans="1:15" ht="16.2" thickBot="1" x14ac:dyDescent="0.35">
      <c r="A514" s="7" t="s">
        <v>239</v>
      </c>
      <c r="K514" s="4" t="s">
        <v>326</v>
      </c>
    </row>
    <row r="515" spans="1:15" ht="16.2" thickBot="1" x14ac:dyDescent="0.35">
      <c r="A515" s="4" t="s">
        <v>230</v>
      </c>
      <c r="B515" s="126">
        <f>AVERAGE(B502:B513)</f>
        <v>2.0841666666666665E-2</v>
      </c>
      <c r="C515" s="126">
        <f t="shared" ref="C515:I515" si="74">AVERAGE(C502:C513)</f>
        <v>-1.3208333333333334E-2</v>
      </c>
      <c r="D515" s="126">
        <f t="shared" si="74"/>
        <v>-1.3208333333333334E-2</v>
      </c>
      <c r="E515" s="126">
        <f t="shared" si="74"/>
        <v>-1.3208333333333334E-2</v>
      </c>
      <c r="F515" s="126">
        <f t="shared" si="74"/>
        <v>1.0841666666666666E-2</v>
      </c>
      <c r="G515" s="126">
        <f t="shared" si="74"/>
        <v>-2.3208333333333331E-2</v>
      </c>
      <c r="H515" s="126">
        <f t="shared" si="74"/>
        <v>-2.3208333333333331E-2</v>
      </c>
      <c r="I515" s="126">
        <f t="shared" si="74"/>
        <v>-2.3208333333333331E-2</v>
      </c>
      <c r="K515" s="332" t="s">
        <v>241</v>
      </c>
      <c r="L515" s="473" t="s">
        <v>242</v>
      </c>
    </row>
    <row r="516" spans="1:15" ht="16.2" thickBot="1" x14ac:dyDescent="0.35">
      <c r="A516" s="192" t="s">
        <v>231</v>
      </c>
      <c r="B516" s="193">
        <f>F515</f>
        <v>1.0841666666666666E-2</v>
      </c>
      <c r="C516" s="193">
        <f>G515</f>
        <v>-2.3208333333333331E-2</v>
      </c>
      <c r="D516" s="193">
        <f>H515</f>
        <v>-2.3208333333333331E-2</v>
      </c>
      <c r="E516" s="193">
        <f>I515</f>
        <v>-2.3208333333333331E-2</v>
      </c>
      <c r="F516" s="295"/>
      <c r="G516" s="295"/>
      <c r="K516" s="429">
        <f>B516/B515</f>
        <v>0.52019192323070773</v>
      </c>
      <c r="L516" s="430">
        <f>E516/E515</f>
        <v>1.757097791798107</v>
      </c>
    </row>
    <row r="517" spans="1:15" ht="16.2" thickBot="1" x14ac:dyDescent="0.35">
      <c r="A517" s="147" t="s">
        <v>237</v>
      </c>
      <c r="G517" s="295"/>
    </row>
    <row r="518" spans="1:15" ht="16.2" thickBot="1" x14ac:dyDescent="0.35">
      <c r="A518" s="313"/>
      <c r="B518" s="270" t="s">
        <v>40</v>
      </c>
      <c r="C518" s="271" t="s">
        <v>41</v>
      </c>
      <c r="G518" s="295"/>
    </row>
    <row r="519" spans="1:15" x14ac:dyDescent="0.3">
      <c r="A519" s="243" t="s">
        <v>27</v>
      </c>
      <c r="B519" s="214">
        <v>0.05</v>
      </c>
      <c r="C519" s="431">
        <v>0</v>
      </c>
      <c r="G519" s="295"/>
    </row>
    <row r="520" spans="1:15" x14ac:dyDescent="0.3">
      <c r="A520" s="246" t="s">
        <v>36</v>
      </c>
      <c r="B520" s="432">
        <v>0.3</v>
      </c>
      <c r="C520" s="433">
        <v>0</v>
      </c>
      <c r="G520" s="295"/>
    </row>
    <row r="521" spans="1:15" x14ac:dyDescent="0.3">
      <c r="A521" s="246" t="s">
        <v>37</v>
      </c>
      <c r="B521" s="432">
        <v>0.3</v>
      </c>
      <c r="C521" s="433">
        <v>0</v>
      </c>
      <c r="G521" s="295"/>
    </row>
    <row r="522" spans="1:15" ht="16.2" thickBot="1" x14ac:dyDescent="0.35">
      <c r="A522" s="249" t="s">
        <v>38</v>
      </c>
      <c r="B522" s="434">
        <v>0.25</v>
      </c>
      <c r="C522" s="435">
        <v>0</v>
      </c>
      <c r="G522" s="295"/>
    </row>
    <row r="523" spans="1:15" s="18" customFormat="1" x14ac:dyDescent="0.3">
      <c r="A523" s="428"/>
      <c r="B523" s="436"/>
      <c r="C523" s="436"/>
      <c r="G523" s="437"/>
      <c r="H523" s="428"/>
      <c r="I523" s="438"/>
    </row>
    <row r="524" spans="1:15" s="18" customFormat="1" x14ac:dyDescent="0.3">
      <c r="A524" s="428"/>
      <c r="B524" s="436"/>
      <c r="C524" s="436"/>
      <c r="G524" s="437"/>
      <c r="H524" s="428"/>
      <c r="I524" s="438"/>
    </row>
    <row r="525" spans="1:15" ht="16.2" thickBot="1" x14ac:dyDescent="0.35">
      <c r="A525" s="147" t="s">
        <v>300</v>
      </c>
      <c r="B525" s="438"/>
      <c r="C525" s="18"/>
      <c r="D525" s="18"/>
      <c r="E525" s="18"/>
      <c r="F525" s="18"/>
      <c r="G525" s="18"/>
      <c r="H525" s="18"/>
      <c r="I525" s="18"/>
    </row>
    <row r="526" spans="1:15" ht="16.2" thickBot="1" x14ac:dyDescent="0.35">
      <c r="A526" s="232"/>
      <c r="B526" s="252" t="s">
        <v>36</v>
      </c>
      <c r="C526" s="252" t="s">
        <v>37</v>
      </c>
      <c r="D526" s="242" t="s">
        <v>38</v>
      </c>
      <c r="F526" s="295"/>
      <c r="G526" s="295"/>
    </row>
    <row r="527" spans="1:15" ht="16.2" thickBot="1" x14ac:dyDescent="0.35">
      <c r="A527" s="232" t="s">
        <v>27</v>
      </c>
      <c r="B527" s="539">
        <v>1.4999999999999999E-2</v>
      </c>
      <c r="C527" s="540">
        <v>0.03</v>
      </c>
      <c r="D527" s="541">
        <v>3.5000000000000003E-2</v>
      </c>
      <c r="F527" s="295"/>
      <c r="G527" s="295"/>
      <c r="J527" s="259"/>
      <c r="K527" s="275"/>
      <c r="L527" s="474"/>
    </row>
    <row r="528" spans="1:15" x14ac:dyDescent="0.3">
      <c r="F528" s="295"/>
      <c r="G528" s="295"/>
      <c r="J528" s="259"/>
    </row>
    <row r="529" spans="1:17" x14ac:dyDescent="0.3">
      <c r="F529" s="295"/>
      <c r="G529" s="295"/>
      <c r="J529" s="259"/>
    </row>
    <row r="530" spans="1:17" ht="16.2" thickBot="1" x14ac:dyDescent="0.35">
      <c r="A530" s="147" t="s">
        <v>301</v>
      </c>
      <c r="B530" s="438"/>
      <c r="C530" s="18"/>
      <c r="D530" s="18"/>
      <c r="E530" s="18"/>
      <c r="F530" s="18"/>
      <c r="G530" s="18"/>
      <c r="H530" s="18"/>
      <c r="I530" s="18"/>
    </row>
    <row r="531" spans="1:17" ht="16.2" thickBot="1" x14ac:dyDescent="0.35">
      <c r="A531" s="232"/>
      <c r="B531" s="252" t="s">
        <v>36</v>
      </c>
      <c r="C531" s="252" t="s">
        <v>37</v>
      </c>
      <c r="D531" s="242" t="s">
        <v>38</v>
      </c>
      <c r="F531" s="295"/>
      <c r="G531" s="295"/>
    </row>
    <row r="532" spans="1:17" ht="16.2" thickBot="1" x14ac:dyDescent="0.35">
      <c r="A532" s="232" t="s">
        <v>27</v>
      </c>
      <c r="B532" s="539">
        <v>8.0000000000000002E-3</v>
      </c>
      <c r="C532" s="540">
        <v>1.4999999999999999E-2</v>
      </c>
      <c r="D532" s="541">
        <v>2.4999999999999994E-2</v>
      </c>
      <c r="G532" s="295"/>
    </row>
    <row r="533" spans="1:17" x14ac:dyDescent="0.3">
      <c r="B533" s="295"/>
      <c r="C533" s="295"/>
      <c r="D533" s="295"/>
      <c r="F533" s="295"/>
      <c r="G533" s="295"/>
    </row>
    <row r="534" spans="1:17" x14ac:dyDescent="0.3">
      <c r="F534" s="295"/>
      <c r="G534" s="295"/>
    </row>
    <row r="535" spans="1:17" s="18" customFormat="1" ht="16.2" thickBot="1" x14ac:dyDescent="0.35">
      <c r="A535" s="147" t="s">
        <v>276</v>
      </c>
      <c r="B535" s="436"/>
      <c r="C535" s="436"/>
      <c r="G535" s="437"/>
      <c r="I535" s="428"/>
      <c r="J535" s="259"/>
      <c r="K535" s="259"/>
      <c r="L535" s="428"/>
      <c r="M535" s="428"/>
      <c r="N535" s="428"/>
      <c r="O535" s="428"/>
      <c r="P535" s="428"/>
      <c r="Q535" s="428"/>
    </row>
    <row r="536" spans="1:17" s="18" customFormat="1" ht="16.2" thickBot="1" x14ac:dyDescent="0.35">
      <c r="A536" s="439"/>
      <c r="B536" s="483"/>
      <c r="C536" s="484" t="s">
        <v>243</v>
      </c>
      <c r="D536" s="485" t="s">
        <v>244</v>
      </c>
      <c r="G536" s="437"/>
      <c r="H536" s="428"/>
      <c r="I536" s="428"/>
      <c r="J536" s="259"/>
      <c r="K536" s="259"/>
      <c r="L536" s="428"/>
      <c r="M536" s="428"/>
      <c r="N536" s="428"/>
      <c r="O536" s="428"/>
      <c r="P536" s="428"/>
      <c r="Q536" s="428"/>
    </row>
    <row r="537" spans="1:17" s="18" customFormat="1" x14ac:dyDescent="0.3">
      <c r="A537" s="440" t="s">
        <v>27</v>
      </c>
      <c r="B537" s="440" t="s">
        <v>36</v>
      </c>
      <c r="C537" s="468">
        <v>1.4999999999999999E-2</v>
      </c>
      <c r="D537" s="469">
        <f>E537-C537</f>
        <v>8.0000000000000002E-3</v>
      </c>
      <c r="E537" s="530">
        <f>J599</f>
        <v>2.3E-2</v>
      </c>
      <c r="F537" s="441"/>
      <c r="H537" s="428"/>
      <c r="I537" s="428"/>
      <c r="J537" s="259"/>
      <c r="K537" s="259"/>
      <c r="L537" s="428"/>
      <c r="M537" s="428"/>
      <c r="N537" s="428"/>
      <c r="O537" s="428"/>
      <c r="P537" s="428"/>
      <c r="Q537" s="428"/>
    </row>
    <row r="538" spans="1:17" s="18" customFormat="1" x14ac:dyDescent="0.3">
      <c r="A538" s="440" t="s">
        <v>27</v>
      </c>
      <c r="B538" s="440" t="s">
        <v>37</v>
      </c>
      <c r="C538" s="468">
        <v>0.03</v>
      </c>
      <c r="D538" s="469">
        <f>E538-C538</f>
        <v>1.4999999999999999E-2</v>
      </c>
      <c r="E538" s="530">
        <f>K599</f>
        <v>4.4999999999999998E-2</v>
      </c>
      <c r="F538" s="441"/>
      <c r="H538" s="428"/>
      <c r="I538" s="428"/>
      <c r="J538" s="259"/>
      <c r="K538" s="259"/>
      <c r="L538" s="428"/>
      <c r="M538" s="428"/>
      <c r="N538" s="428"/>
      <c r="O538" s="428"/>
      <c r="P538" s="428"/>
      <c r="Q538" s="428"/>
    </row>
    <row r="539" spans="1:17" s="18" customFormat="1" ht="16.2" thickBot="1" x14ac:dyDescent="0.35">
      <c r="A539" s="442" t="s">
        <v>27</v>
      </c>
      <c r="B539" s="442" t="s">
        <v>38</v>
      </c>
      <c r="C539" s="470">
        <v>3.5000000000000003E-2</v>
      </c>
      <c r="D539" s="471">
        <f>E539-C539</f>
        <v>2.4999999999999994E-2</v>
      </c>
      <c r="E539" s="530">
        <f>L599</f>
        <v>0.06</v>
      </c>
      <c r="F539" s="441"/>
      <c r="H539" s="428"/>
      <c r="I539" s="428"/>
      <c r="J539" s="259"/>
      <c r="K539" s="259"/>
      <c r="L539" s="428"/>
      <c r="M539" s="428"/>
      <c r="N539" s="428"/>
      <c r="O539" s="428"/>
      <c r="P539" s="428"/>
      <c r="Q539" s="428"/>
    </row>
    <row r="540" spans="1:17" x14ac:dyDescent="0.3">
      <c r="F540" s="295"/>
      <c r="G540" s="295"/>
      <c r="J540" s="259"/>
      <c r="K540" s="259"/>
    </row>
    <row r="541" spans="1:17" x14ac:dyDescent="0.3">
      <c r="F541" s="295"/>
      <c r="G541" s="295"/>
    </row>
    <row r="542" spans="1:17" ht="16.2" thickBot="1" x14ac:dyDescent="0.35">
      <c r="A542" s="185" t="s">
        <v>217</v>
      </c>
    </row>
    <row r="543" spans="1:17" ht="16.2" thickBot="1" x14ac:dyDescent="0.35">
      <c r="A543" s="443"/>
      <c r="B543" s="444"/>
      <c r="C543" s="201" t="s">
        <v>25</v>
      </c>
      <c r="D543" s="445" t="s">
        <v>26</v>
      </c>
      <c r="E543" s="358" t="s">
        <v>185</v>
      </c>
    </row>
    <row r="544" spans="1:17" x14ac:dyDescent="0.3">
      <c r="A544" s="409" t="s">
        <v>27</v>
      </c>
      <c r="B544" s="446" t="s">
        <v>28</v>
      </c>
      <c r="C544" s="447">
        <f t="shared" ref="C544:D550" si="75">C130*B281*0.001</f>
        <v>5.6506160000000012</v>
      </c>
      <c r="D544" s="448">
        <f t="shared" si="75"/>
        <v>36.161794399999998</v>
      </c>
      <c r="E544" s="337">
        <f>D544+C544</f>
        <v>41.812410399999997</v>
      </c>
    </row>
    <row r="545" spans="1:5" x14ac:dyDescent="0.3">
      <c r="A545" s="416" t="s">
        <v>27</v>
      </c>
      <c r="B545" s="449" t="s">
        <v>29</v>
      </c>
      <c r="C545" s="450">
        <f t="shared" si="75"/>
        <v>14.030158199999999</v>
      </c>
      <c r="D545" s="451">
        <f t="shared" si="75"/>
        <v>30.112430400000004</v>
      </c>
      <c r="E545" s="326">
        <f t="shared" ref="E545:E571" si="76">D545+C545</f>
        <v>44.142588600000003</v>
      </c>
    </row>
    <row r="546" spans="1:5" x14ac:dyDescent="0.3">
      <c r="A546" s="416" t="s">
        <v>27</v>
      </c>
      <c r="B546" s="449" t="s">
        <v>30</v>
      </c>
      <c r="C546" s="450">
        <f t="shared" si="75"/>
        <v>3.7508920000000003</v>
      </c>
      <c r="D546" s="451">
        <f t="shared" si="75"/>
        <v>22.584425199999998</v>
      </c>
      <c r="E546" s="326">
        <f t="shared" si="76"/>
        <v>26.335317199999999</v>
      </c>
    </row>
    <row r="547" spans="1:5" x14ac:dyDescent="0.3">
      <c r="A547" s="416" t="s">
        <v>27</v>
      </c>
      <c r="B547" s="449" t="s">
        <v>31</v>
      </c>
      <c r="C547" s="450">
        <f t="shared" si="75"/>
        <v>5.2803936</v>
      </c>
      <c r="D547" s="451">
        <f t="shared" si="75"/>
        <v>11.0147464</v>
      </c>
      <c r="E547" s="326">
        <f t="shared" si="76"/>
        <v>16.29514</v>
      </c>
    </row>
    <row r="548" spans="1:5" x14ac:dyDescent="0.3">
      <c r="A548" s="416" t="s">
        <v>27</v>
      </c>
      <c r="B548" s="449" t="s">
        <v>32</v>
      </c>
      <c r="C548" s="450">
        <f t="shared" si="75"/>
        <v>2.7574031999999997</v>
      </c>
      <c r="D548" s="451">
        <f t="shared" si="75"/>
        <v>10.8117175</v>
      </c>
      <c r="E548" s="326">
        <f t="shared" si="76"/>
        <v>13.569120699999999</v>
      </c>
    </row>
    <row r="549" spans="1:5" x14ac:dyDescent="0.3">
      <c r="A549" s="416" t="s">
        <v>27</v>
      </c>
      <c r="B549" s="449" t="s">
        <v>33</v>
      </c>
      <c r="C549" s="450">
        <f t="shared" si="75"/>
        <v>14.4420672</v>
      </c>
      <c r="D549" s="451">
        <f t="shared" si="75"/>
        <v>9.7973104000000024</v>
      </c>
      <c r="E549" s="326">
        <f t="shared" si="76"/>
        <v>24.239377600000005</v>
      </c>
    </row>
    <row r="550" spans="1:5" ht="16.2" thickBot="1" x14ac:dyDescent="0.35">
      <c r="A550" s="420" t="s">
        <v>27</v>
      </c>
      <c r="B550" s="452" t="s">
        <v>34</v>
      </c>
      <c r="C550" s="453">
        <f t="shared" si="75"/>
        <v>5.843355599999998</v>
      </c>
      <c r="D550" s="454">
        <f t="shared" si="75"/>
        <v>19.575862600000001</v>
      </c>
      <c r="E550" s="330">
        <f t="shared" si="76"/>
        <v>25.4192182</v>
      </c>
    </row>
    <row r="551" spans="1:5" x14ac:dyDescent="0.3">
      <c r="A551" s="409" t="s">
        <v>36</v>
      </c>
      <c r="B551" s="455" t="s">
        <v>28</v>
      </c>
      <c r="C551" s="456">
        <f t="shared" ref="C551:D557" si="77">C137*B281*0.001</f>
        <v>9.606504000000001</v>
      </c>
      <c r="D551" s="457">
        <f t="shared" si="77"/>
        <v>182.53048559999996</v>
      </c>
      <c r="E551" s="337">
        <f t="shared" si="76"/>
        <v>192.13698959999996</v>
      </c>
    </row>
    <row r="552" spans="1:5" x14ac:dyDescent="0.3">
      <c r="A552" s="416" t="s">
        <v>36</v>
      </c>
      <c r="B552" s="428" t="s">
        <v>29</v>
      </c>
      <c r="C552" s="327">
        <f t="shared" si="77"/>
        <v>4.4209385999999995</v>
      </c>
      <c r="D552" s="458">
        <f t="shared" si="77"/>
        <v>84.042457200000015</v>
      </c>
      <c r="E552" s="326">
        <f t="shared" si="76"/>
        <v>88.463395800000015</v>
      </c>
    </row>
    <row r="553" spans="1:5" x14ac:dyDescent="0.3">
      <c r="A553" s="416" t="s">
        <v>36</v>
      </c>
      <c r="B553" s="428" t="s">
        <v>30</v>
      </c>
      <c r="C553" s="327">
        <f t="shared" si="77"/>
        <v>4.7141120000000001</v>
      </c>
      <c r="D553" s="458">
        <f t="shared" si="77"/>
        <v>89.580962799999995</v>
      </c>
      <c r="E553" s="326">
        <f t="shared" si="76"/>
        <v>94.295074799999995</v>
      </c>
    </row>
    <row r="554" spans="1:5" x14ac:dyDescent="0.3">
      <c r="A554" s="416" t="s">
        <v>36</v>
      </c>
      <c r="B554" s="428" t="s">
        <v>31</v>
      </c>
      <c r="C554" s="327">
        <f t="shared" si="77"/>
        <v>3.4687692000000001</v>
      </c>
      <c r="D554" s="458">
        <f t="shared" si="77"/>
        <v>65.900593600000008</v>
      </c>
      <c r="E554" s="326">
        <f t="shared" si="76"/>
        <v>69.369362800000005</v>
      </c>
    </row>
    <row r="555" spans="1:5" x14ac:dyDescent="0.3">
      <c r="A555" s="416" t="s">
        <v>36</v>
      </c>
      <c r="B555" s="428" t="s">
        <v>32</v>
      </c>
      <c r="C555" s="327">
        <f t="shared" si="77"/>
        <v>1.5888060000000002</v>
      </c>
      <c r="D555" s="458">
        <f t="shared" si="77"/>
        <v>30.194253499999999</v>
      </c>
      <c r="E555" s="326">
        <f t="shared" si="76"/>
        <v>31.7830595</v>
      </c>
    </row>
    <row r="556" spans="1:5" x14ac:dyDescent="0.3">
      <c r="A556" s="416" t="s">
        <v>36</v>
      </c>
      <c r="B556" s="428" t="s">
        <v>33</v>
      </c>
      <c r="C556" s="327">
        <f t="shared" si="77"/>
        <v>2.1307967999999997</v>
      </c>
      <c r="D556" s="458">
        <f t="shared" si="77"/>
        <v>40.394967300000005</v>
      </c>
      <c r="E556" s="326">
        <f t="shared" si="76"/>
        <v>42.525764100000004</v>
      </c>
    </row>
    <row r="557" spans="1:5" ht="16.2" thickBot="1" x14ac:dyDescent="0.35">
      <c r="A557" s="420" t="s">
        <v>36</v>
      </c>
      <c r="B557" s="459" t="s">
        <v>34</v>
      </c>
      <c r="C557" s="460">
        <f t="shared" si="77"/>
        <v>9.5159318999999982</v>
      </c>
      <c r="D557" s="461">
        <f t="shared" si="77"/>
        <v>180.79508580000001</v>
      </c>
      <c r="E557" s="330">
        <f t="shared" si="76"/>
        <v>190.31101770000001</v>
      </c>
    </row>
    <row r="558" spans="1:5" x14ac:dyDescent="0.3">
      <c r="A558" s="409" t="s">
        <v>37</v>
      </c>
      <c r="B558" s="455" t="s">
        <v>28</v>
      </c>
      <c r="C558" s="456">
        <f t="shared" ref="C558:D564" si="78">C144*B281*0.001</f>
        <v>45.810187999999997</v>
      </c>
      <c r="D558" s="457">
        <f t="shared" si="78"/>
        <v>24.4114632</v>
      </c>
      <c r="E558" s="337">
        <f t="shared" si="76"/>
        <v>70.221651199999997</v>
      </c>
    </row>
    <row r="559" spans="1:5" x14ac:dyDescent="0.3">
      <c r="A559" s="416" t="s">
        <v>37</v>
      </c>
      <c r="B559" s="428" t="s">
        <v>29</v>
      </c>
      <c r="C559" s="327">
        <f t="shared" si="78"/>
        <v>175.48597499999997</v>
      </c>
      <c r="D559" s="458">
        <f t="shared" si="78"/>
        <v>211.87897380000001</v>
      </c>
      <c r="E559" s="326">
        <f t="shared" si="76"/>
        <v>387.36494879999998</v>
      </c>
    </row>
    <row r="560" spans="1:5" x14ac:dyDescent="0.3">
      <c r="A560" s="416" t="s">
        <v>37</v>
      </c>
      <c r="B560" s="428" t="s">
        <v>30</v>
      </c>
      <c r="C560" s="327">
        <f t="shared" si="78"/>
        <v>30.988487200000002</v>
      </c>
      <c r="D560" s="458">
        <f t="shared" si="78"/>
        <v>50.230586799999998</v>
      </c>
      <c r="E560" s="326">
        <f t="shared" si="76"/>
        <v>81.219074000000006</v>
      </c>
    </row>
    <row r="561" spans="1:5" x14ac:dyDescent="0.3">
      <c r="A561" s="416" t="s">
        <v>37</v>
      </c>
      <c r="B561" s="428" t="s">
        <v>31</v>
      </c>
      <c r="C561" s="327">
        <f t="shared" si="78"/>
        <v>45.771603300000002</v>
      </c>
      <c r="D561" s="458">
        <f t="shared" si="78"/>
        <v>24.342824400000001</v>
      </c>
      <c r="E561" s="326">
        <f t="shared" si="76"/>
        <v>70.114427700000007</v>
      </c>
    </row>
    <row r="562" spans="1:5" x14ac:dyDescent="0.3">
      <c r="A562" s="416" t="s">
        <v>37</v>
      </c>
      <c r="B562" s="428" t="s">
        <v>32</v>
      </c>
      <c r="C562" s="327">
        <f t="shared" si="78"/>
        <v>21.355983599999995</v>
      </c>
      <c r="D562" s="458">
        <f t="shared" si="78"/>
        <v>33.071865500000001</v>
      </c>
      <c r="E562" s="326">
        <f t="shared" si="76"/>
        <v>54.427849099999996</v>
      </c>
    </row>
    <row r="563" spans="1:5" x14ac:dyDescent="0.3">
      <c r="A563" s="416" t="s">
        <v>37</v>
      </c>
      <c r="B563" s="428" t="s">
        <v>33</v>
      </c>
      <c r="C563" s="327">
        <f t="shared" si="78"/>
        <v>142.30063679999998</v>
      </c>
      <c r="D563" s="458">
        <f t="shared" si="78"/>
        <v>62.773488800000017</v>
      </c>
      <c r="E563" s="326">
        <f t="shared" si="76"/>
        <v>205.0741256</v>
      </c>
    </row>
    <row r="564" spans="1:5" ht="16.2" thickBot="1" x14ac:dyDescent="0.35">
      <c r="A564" s="420" t="s">
        <v>37</v>
      </c>
      <c r="B564" s="459" t="s">
        <v>34</v>
      </c>
      <c r="C564" s="460">
        <f t="shared" si="78"/>
        <v>67.075715099999982</v>
      </c>
      <c r="D564" s="461">
        <f t="shared" si="78"/>
        <v>36.514218999999997</v>
      </c>
      <c r="E564" s="330">
        <f t="shared" si="76"/>
        <v>103.58993409999998</v>
      </c>
    </row>
    <row r="565" spans="1:5" x14ac:dyDescent="0.3">
      <c r="A565" s="409" t="s">
        <v>38</v>
      </c>
      <c r="B565" s="455" t="s">
        <v>28</v>
      </c>
      <c r="C565" s="456">
        <f t="shared" ref="C565:D571" si="79">C151*B281*0.001</f>
        <v>7.5006560000000002</v>
      </c>
      <c r="D565" s="457">
        <f t="shared" si="79"/>
        <v>0.15013199999999999</v>
      </c>
      <c r="E565" s="337">
        <f t="shared" si="76"/>
        <v>7.6507880000000004</v>
      </c>
    </row>
    <row r="566" spans="1:5" x14ac:dyDescent="0.3">
      <c r="A566" s="416" t="s">
        <v>38</v>
      </c>
      <c r="B566" s="428" t="s">
        <v>29</v>
      </c>
      <c r="C566" s="327">
        <f t="shared" si="79"/>
        <v>30.772174199999998</v>
      </c>
      <c r="D566" s="458">
        <f t="shared" si="79"/>
        <v>0.62948340000000025</v>
      </c>
      <c r="E566" s="326">
        <f t="shared" si="76"/>
        <v>31.4016576</v>
      </c>
    </row>
    <row r="567" spans="1:5" x14ac:dyDescent="0.3">
      <c r="A567" s="416" t="s">
        <v>38</v>
      </c>
      <c r="B567" s="428" t="s">
        <v>30</v>
      </c>
      <c r="C567" s="327">
        <f t="shared" si="79"/>
        <v>6.1260792000000004</v>
      </c>
      <c r="D567" s="458">
        <f t="shared" si="79"/>
        <v>0.12612299999999999</v>
      </c>
      <c r="E567" s="326">
        <f t="shared" si="76"/>
        <v>6.2522022000000002</v>
      </c>
    </row>
    <row r="568" spans="1:5" x14ac:dyDescent="0.3">
      <c r="A568" s="416" t="s">
        <v>38</v>
      </c>
      <c r="B568" s="428" t="s">
        <v>31</v>
      </c>
      <c r="C568" s="327">
        <f t="shared" si="79"/>
        <v>6.0527916000000008</v>
      </c>
      <c r="D568" s="458">
        <f t="shared" si="79"/>
        <v>0.12329940000000002</v>
      </c>
      <c r="E568" s="326">
        <f t="shared" si="76"/>
        <v>6.1760910000000004</v>
      </c>
    </row>
    <row r="569" spans="1:5" x14ac:dyDescent="0.3">
      <c r="A569" s="416" t="s">
        <v>38</v>
      </c>
      <c r="B569" s="428" t="s">
        <v>32</v>
      </c>
      <c r="C569" s="327">
        <f t="shared" si="79"/>
        <v>4.9435307999999996</v>
      </c>
      <c r="D569" s="458">
        <f t="shared" si="79"/>
        <v>9.9228000000000011E-2</v>
      </c>
      <c r="E569" s="326">
        <f t="shared" si="76"/>
        <v>5.0427587999999997</v>
      </c>
    </row>
    <row r="570" spans="1:5" x14ac:dyDescent="0.3">
      <c r="A570" s="416" t="s">
        <v>38</v>
      </c>
      <c r="B570" s="428" t="s">
        <v>33</v>
      </c>
      <c r="C570" s="327">
        <f t="shared" si="79"/>
        <v>21.544723199999993</v>
      </c>
      <c r="D570" s="458">
        <f t="shared" si="79"/>
        <v>0.44188900000000009</v>
      </c>
      <c r="E570" s="326">
        <f t="shared" si="76"/>
        <v>21.986612199999993</v>
      </c>
    </row>
    <row r="571" spans="1:5" ht="16.2" thickBot="1" x14ac:dyDescent="0.35">
      <c r="A571" s="420" t="s">
        <v>38</v>
      </c>
      <c r="B571" s="459" t="s">
        <v>34</v>
      </c>
      <c r="C571" s="460">
        <f t="shared" si="79"/>
        <v>9.757129599999999</v>
      </c>
      <c r="D571" s="461">
        <f t="shared" si="79"/>
        <v>0.19880699999999998</v>
      </c>
      <c r="E571" s="330">
        <f t="shared" si="76"/>
        <v>9.9559365999999994</v>
      </c>
    </row>
    <row r="572" spans="1:5" x14ac:dyDescent="0.3">
      <c r="A572" s="5" t="s">
        <v>35</v>
      </c>
    </row>
    <row r="574" spans="1:5" ht="16.2" thickBot="1" x14ac:dyDescent="0.35">
      <c r="A574" s="4" t="s">
        <v>196</v>
      </c>
    </row>
    <row r="575" spans="1:5" ht="16.2" thickBot="1" x14ac:dyDescent="0.35">
      <c r="A575" s="443"/>
      <c r="B575" s="444"/>
      <c r="C575" s="462" t="s">
        <v>25</v>
      </c>
      <c r="D575" s="463" t="s">
        <v>26</v>
      </c>
      <c r="E575" s="358" t="s">
        <v>185</v>
      </c>
    </row>
    <row r="576" spans="1:5" x14ac:dyDescent="0.3">
      <c r="A576" s="409" t="s">
        <v>27</v>
      </c>
      <c r="B576" s="455" t="s">
        <v>28</v>
      </c>
      <c r="C576" s="447">
        <f>C551/$B$39*$F$39*$B$292+C558/$B$40*$F$40*$B$293+C565/$B$41*$F$41*$B$294</f>
        <v>216.22207744000002</v>
      </c>
      <c r="D576" s="448">
        <f>D551/$B$39*$F$39*$B$292+D558/$B$40*$F$40*$B$293+D565/$B$41*$F$41*$B$294</f>
        <v>504.63929212799985</v>
      </c>
      <c r="E576" s="337">
        <f>D576+C576</f>
        <v>720.86136956799987</v>
      </c>
    </row>
    <row r="577" spans="1:6" x14ac:dyDescent="0.3">
      <c r="A577" s="416" t="s">
        <v>27</v>
      </c>
      <c r="B577" s="428" t="s">
        <v>29</v>
      </c>
      <c r="C577" s="450">
        <f t="shared" ref="C577" si="80">C552/$B$39*$F$39*$B$292+C559/$B$40*$F$40*$B$293+C566/$B$41*$F$41*$B$294</f>
        <v>762.45617287199991</v>
      </c>
      <c r="D577" s="451">
        <f t="shared" ref="D577:D582" si="81">D552/$B$39*$F$39*$B$292+D559/$B$40*$F$40*$B$293+D566/$B$41*$F$41*$B$294</f>
        <v>956.84868302400002</v>
      </c>
      <c r="E577" s="326">
        <f t="shared" ref="E577:E582" si="82">D577+C577</f>
        <v>1719.3048558959999</v>
      </c>
    </row>
    <row r="578" spans="1:6" x14ac:dyDescent="0.3">
      <c r="A578" s="416" t="s">
        <v>27</v>
      </c>
      <c r="B578" s="428" t="s">
        <v>30</v>
      </c>
      <c r="C578" s="450">
        <f t="shared" ref="C578" si="83">C553/$B$39*$F$39*$B$292+C560/$B$40*$F$40*$B$293+C567/$B$41*$F$41*$B$294</f>
        <v>146.32095974399999</v>
      </c>
      <c r="D578" s="451">
        <f t="shared" si="81"/>
        <v>385.56910982399995</v>
      </c>
      <c r="E578" s="326">
        <f t="shared" si="82"/>
        <v>531.89006956799994</v>
      </c>
    </row>
    <row r="579" spans="1:6" x14ac:dyDescent="0.3">
      <c r="A579" s="416" t="s">
        <v>27</v>
      </c>
      <c r="B579" s="428" t="s">
        <v>31</v>
      </c>
      <c r="C579" s="450">
        <f t="shared" ref="C579" si="84">C554/$B$39*$F$39*$B$292+C561/$B$40*$F$40*$B$293+C568/$B$41*$F$41*$B$294</f>
        <v>196.41350872800001</v>
      </c>
      <c r="D579" s="451">
        <f t="shared" si="81"/>
        <v>238.37085489600003</v>
      </c>
      <c r="E579" s="326">
        <f t="shared" si="82"/>
        <v>434.78436362400004</v>
      </c>
    </row>
    <row r="580" spans="1:6" x14ac:dyDescent="0.3">
      <c r="A580" s="416" t="s">
        <v>27</v>
      </c>
      <c r="B580" s="428" t="s">
        <v>32</v>
      </c>
      <c r="C580" s="450">
        <f t="shared" ref="C580" si="85">C555/$B$39*$F$39*$B$292+C562/$B$40*$F$40*$B$293+C569/$B$41*$F$41*$B$294</f>
        <v>99.882659375999964</v>
      </c>
      <c r="D580" s="451">
        <f t="shared" si="81"/>
        <v>188.29058753999999</v>
      </c>
      <c r="E580" s="326">
        <f t="shared" si="82"/>
        <v>288.17324691599993</v>
      </c>
    </row>
    <row r="581" spans="1:6" x14ac:dyDescent="0.3">
      <c r="A581" s="416" t="s">
        <v>27</v>
      </c>
      <c r="B581" s="428" t="s">
        <v>33</v>
      </c>
      <c r="C581" s="450">
        <f t="shared" ref="C581" si="86">C556/$B$39*$F$39*$B$292+C563/$B$40*$F$40*$B$293+C570/$B$41*$F$41*$B$294</f>
        <v>601.59582412799989</v>
      </c>
      <c r="D581" s="451">
        <f t="shared" si="81"/>
        <v>319.81729000400003</v>
      </c>
      <c r="E581" s="326">
        <f t="shared" si="82"/>
        <v>921.41311413199992</v>
      </c>
    </row>
    <row r="582" spans="1:6" ht="16.2" thickBot="1" x14ac:dyDescent="0.35">
      <c r="A582" s="420" t="s">
        <v>27</v>
      </c>
      <c r="B582" s="459" t="s">
        <v>34</v>
      </c>
      <c r="C582" s="453">
        <f t="shared" ref="C582" si="87">C557/$B$39*$F$39*$B$292+C564/$B$40*$F$40*$B$293+C571/$B$41*$F$41*$B$294</f>
        <v>301.41684712399996</v>
      </c>
      <c r="D582" s="454">
        <f t="shared" si="81"/>
        <v>544.44330746399999</v>
      </c>
      <c r="E582" s="330">
        <f t="shared" si="82"/>
        <v>845.86015458799989</v>
      </c>
    </row>
    <row r="583" spans="1:6" x14ac:dyDescent="0.3">
      <c r="A583" s="5" t="s">
        <v>35</v>
      </c>
    </row>
    <row r="585" spans="1:6" ht="16.2" thickBot="1" x14ac:dyDescent="0.35">
      <c r="A585" s="4" t="s">
        <v>222</v>
      </c>
    </row>
    <row r="586" spans="1:6" ht="16.2" thickBot="1" x14ac:dyDescent="0.35">
      <c r="A586" s="443"/>
      <c r="B586" s="444"/>
      <c r="C586" s="462" t="s">
        <v>25</v>
      </c>
      <c r="D586" s="463" t="s">
        <v>26</v>
      </c>
      <c r="E586" s="358" t="s">
        <v>185</v>
      </c>
    </row>
    <row r="587" spans="1:6" x14ac:dyDescent="0.3">
      <c r="A587" s="409" t="s">
        <v>27</v>
      </c>
      <c r="B587" s="455" t="s">
        <v>28</v>
      </c>
      <c r="C587" s="447">
        <f>C544*$B$298+C576*$C$298</f>
        <v>465.40169798728004</v>
      </c>
      <c r="D587" s="448">
        <f t="shared" ref="D587:D593" si="88">D544*$B$298+D576*$C$298</f>
        <v>1111.1859553949196</v>
      </c>
      <c r="E587" s="337">
        <f>D587+C587</f>
        <v>1576.5876533821997</v>
      </c>
      <c r="F587" s="259"/>
    </row>
    <row r="588" spans="1:6" x14ac:dyDescent="0.3">
      <c r="A588" s="416" t="s">
        <v>27</v>
      </c>
      <c r="B588" s="428" t="s">
        <v>29</v>
      </c>
      <c r="C588" s="450">
        <f>C545*$B$298+C577*$C$298</f>
        <v>1634.717093349522</v>
      </c>
      <c r="D588" s="451">
        <f t="shared" si="88"/>
        <v>2065.0989899161441</v>
      </c>
      <c r="E588" s="326">
        <f t="shared" ref="E588:E593" si="89">D588+C588</f>
        <v>3699.8160832656658</v>
      </c>
      <c r="F588" s="259"/>
    </row>
    <row r="589" spans="1:6" x14ac:dyDescent="0.3">
      <c r="A589" s="416" t="s">
        <v>27</v>
      </c>
      <c r="B589" s="428" t="s">
        <v>30</v>
      </c>
      <c r="C589" s="450">
        <f t="shared" ref="C589" si="90">C546*$B$298+C578*$C$298</f>
        <v>314.86545119789599</v>
      </c>
      <c r="D589" s="451">
        <f t="shared" si="88"/>
        <v>843.51319102345997</v>
      </c>
      <c r="E589" s="326">
        <f t="shared" si="89"/>
        <v>1158.3786422213559</v>
      </c>
      <c r="F589" s="259"/>
    </row>
    <row r="590" spans="1:6" x14ac:dyDescent="0.3">
      <c r="A590" s="416" t="s">
        <v>27</v>
      </c>
      <c r="B590" s="428" t="s">
        <v>31</v>
      </c>
      <c r="C590" s="450">
        <f t="shared" ref="C590" si="91">C547*$B$298+C579*$C$298</f>
        <v>422.92561824518407</v>
      </c>
      <c r="D590" s="451">
        <f t="shared" si="88"/>
        <v>518.28010501599204</v>
      </c>
      <c r="E590" s="326">
        <f t="shared" si="89"/>
        <v>941.2057232611761</v>
      </c>
      <c r="F590" s="259"/>
    </row>
    <row r="591" spans="1:6" x14ac:dyDescent="0.3">
      <c r="A591" s="416" t="s">
        <v>27</v>
      </c>
      <c r="B591" s="428" t="s">
        <v>32</v>
      </c>
      <c r="C591" s="450">
        <f t="shared" ref="C591" si="92">C548*$B$298+C580*$C$298</f>
        <v>215.14991325316794</v>
      </c>
      <c r="D591" s="451">
        <f t="shared" si="88"/>
        <v>411.68878870818503</v>
      </c>
      <c r="E591" s="326">
        <f t="shared" si="89"/>
        <v>626.83870196135297</v>
      </c>
      <c r="F591" s="259"/>
    </row>
    <row r="592" spans="1:6" x14ac:dyDescent="0.3">
      <c r="A592" s="416" t="s">
        <v>27</v>
      </c>
      <c r="B592" s="428" t="s">
        <v>33</v>
      </c>
      <c r="C592" s="450">
        <f t="shared" ref="C592" si="93">C549*$B$298+C581*$C$298</f>
        <v>1293.4977336792958</v>
      </c>
      <c r="D592" s="451">
        <f t="shared" si="88"/>
        <v>689.9481645712641</v>
      </c>
      <c r="E592" s="326">
        <f t="shared" si="89"/>
        <v>1983.4458982505598</v>
      </c>
      <c r="F592" s="259"/>
    </row>
    <row r="593" spans="1:12" ht="16.2" thickBot="1" x14ac:dyDescent="0.35">
      <c r="A593" s="420" t="s">
        <v>27</v>
      </c>
      <c r="B593" s="459" t="s">
        <v>34</v>
      </c>
      <c r="C593" s="453">
        <f t="shared" ref="C593" si="94">C550*$B$298+C582*$C$298</f>
        <v>646.56502587682792</v>
      </c>
      <c r="D593" s="454">
        <f t="shared" si="88"/>
        <v>1177.689663527678</v>
      </c>
      <c r="E593" s="330">
        <f t="shared" si="89"/>
        <v>1824.2546894045058</v>
      </c>
      <c r="F593" s="259"/>
    </row>
    <row r="594" spans="1:12" x14ac:dyDescent="0.3">
      <c r="A594" s="5" t="s">
        <v>35</v>
      </c>
      <c r="E594" s="259"/>
    </row>
    <row r="596" spans="1:12" x14ac:dyDescent="0.3">
      <c r="A596" s="4" t="s">
        <v>280</v>
      </c>
      <c r="D596" s="521" t="s">
        <v>303</v>
      </c>
      <c r="I596" s="521" t="s">
        <v>308</v>
      </c>
    </row>
    <row r="597" spans="1:12" ht="16.2" thickBot="1" x14ac:dyDescent="0.35">
      <c r="A597" s="428" t="s">
        <v>282</v>
      </c>
      <c r="D597" s="181" t="s">
        <v>304</v>
      </c>
      <c r="I597" s="181" t="s">
        <v>302</v>
      </c>
    </row>
    <row r="598" spans="1:12" ht="16.2" thickBot="1" x14ac:dyDescent="0.35">
      <c r="A598" s="489"/>
      <c r="B598" s="490" t="s">
        <v>27</v>
      </c>
      <c r="D598" s="514"/>
      <c r="E598" s="547" t="s">
        <v>36</v>
      </c>
      <c r="F598" s="463" t="s">
        <v>37</v>
      </c>
      <c r="G598" s="466" t="s">
        <v>38</v>
      </c>
      <c r="I598" s="358"/>
      <c r="J598" s="545" t="s">
        <v>36</v>
      </c>
      <c r="K598" s="200" t="s">
        <v>37</v>
      </c>
      <c r="L598" s="444" t="s">
        <v>38</v>
      </c>
    </row>
    <row r="599" spans="1:12" ht="16.2" thickBot="1" x14ac:dyDescent="0.35">
      <c r="A599" s="491" t="s">
        <v>36</v>
      </c>
      <c r="B599" s="552">
        <v>-0.03</v>
      </c>
      <c r="C599" s="487"/>
      <c r="D599" s="339" t="s">
        <v>306</v>
      </c>
      <c r="E599" s="548">
        <f>-B599*(B606/$B$609)*(C606/$C$609)</f>
        <v>5.5958322658220962E-2</v>
      </c>
      <c r="F599" s="549">
        <f>-B600*(B607/$B$609)*(C607/$C$609)</f>
        <v>0.11351822060724991</v>
      </c>
      <c r="G599" s="550">
        <f>-B601*(B608/$B$609)*(C608/$C$609)</f>
        <v>1.347374460353856E-2</v>
      </c>
      <c r="I599" s="516" t="s">
        <v>27</v>
      </c>
      <c r="J599" s="555">
        <f>ROUND(-G606/H606*B599,3)</f>
        <v>2.3E-2</v>
      </c>
      <c r="K599" s="555">
        <f>ROUND(-G607/H607*B600,3)</f>
        <v>4.4999999999999998E-2</v>
      </c>
      <c r="L599" s="556">
        <f>ROUND(-G608/H608*B601,3)</f>
        <v>0.06</v>
      </c>
    </row>
    <row r="600" spans="1:12" ht="16.2" thickBot="1" x14ac:dyDescent="0.35">
      <c r="A600" s="491" t="s">
        <v>37</v>
      </c>
      <c r="B600" s="552">
        <v>-0.04</v>
      </c>
      <c r="C600" s="487"/>
      <c r="D600" s="546" t="s">
        <v>305</v>
      </c>
      <c r="E600" s="554">
        <f>-B599*(B606/$B$609)*(C606/(C606*D606*E606))</f>
        <v>0.16153767317923057</v>
      </c>
      <c r="F600" s="555">
        <f>-B600*(B607/$B$609)*(C607/(C607*D607*E607))</f>
        <v>0.14523711177986273</v>
      </c>
      <c r="G600" s="556">
        <f>-B601*(B608/$B$609)*(C608/(C608*D608*E608))</f>
        <v>0.1726782056423207</v>
      </c>
      <c r="I600" s="551" t="s">
        <v>307</v>
      </c>
    </row>
    <row r="601" spans="1:12" ht="16.2" thickBot="1" x14ac:dyDescent="0.35">
      <c r="A601" s="492" t="s">
        <v>38</v>
      </c>
      <c r="B601" s="553">
        <v>-0.05</v>
      </c>
      <c r="C601" s="487"/>
      <c r="D601" s="551" t="s">
        <v>309</v>
      </c>
    </row>
    <row r="603" spans="1:12" x14ac:dyDescent="0.3">
      <c r="A603" s="89" t="s">
        <v>283</v>
      </c>
    </row>
    <row r="604" spans="1:12" ht="16.2" thickBot="1" x14ac:dyDescent="0.35">
      <c r="A604" s="428" t="s">
        <v>281</v>
      </c>
    </row>
    <row r="605" spans="1:12" ht="16.2" thickBot="1" x14ac:dyDescent="0.35">
      <c r="A605" s="488"/>
      <c r="B605" s="493" t="s">
        <v>279</v>
      </c>
      <c r="C605" s="490" t="s">
        <v>7</v>
      </c>
      <c r="D605" s="522" t="s">
        <v>290</v>
      </c>
      <c r="E605" s="522" t="s">
        <v>291</v>
      </c>
      <c r="F605" s="520" t="s">
        <v>292</v>
      </c>
      <c r="G605" s="529" t="s">
        <v>293</v>
      </c>
      <c r="H605" s="529" t="s">
        <v>294</v>
      </c>
    </row>
    <row r="606" spans="1:12" x14ac:dyDescent="0.3">
      <c r="A606" s="494" t="s">
        <v>36</v>
      </c>
      <c r="B606" s="495">
        <f>ROUND(SUMPRODUCT(F168:F174,E72:E78)/SUM(E72:E78),0)</f>
        <v>34676</v>
      </c>
      <c r="C606" s="517">
        <f>ROUND(SUM(E72:E78),3)</f>
        <v>1490.78</v>
      </c>
      <c r="D606" s="525">
        <f>F39</f>
        <v>3.8</v>
      </c>
      <c r="E606" s="523">
        <f>B292</f>
        <v>0.3</v>
      </c>
      <c r="F606" s="527">
        <f>C606*D606*E606</f>
        <v>1699.4892</v>
      </c>
      <c r="G606" s="456">
        <f>F606/SUM($F$606:$F$608)</f>
        <v>0.28722848597815137</v>
      </c>
      <c r="H606" s="337">
        <f>(B606*C606)/SUMPRODUCT($B$606:$B$608,$C$606:$C$608)</f>
        <v>0.3751029591946714</v>
      </c>
    </row>
    <row r="607" spans="1:12" x14ac:dyDescent="0.3">
      <c r="A607" s="491" t="s">
        <v>37</v>
      </c>
      <c r="B607" s="496">
        <f>ROUND(SUMPRODUCT(F175:F181,E79:E85)/SUM(E79:E85),0)</f>
        <v>36920</v>
      </c>
      <c r="C607" s="518">
        <f>ROUND(SUM(E79:E85),3)</f>
        <v>2130.3110000000001</v>
      </c>
      <c r="D607" s="526">
        <f>F40</f>
        <v>3</v>
      </c>
      <c r="E607" s="524">
        <f>B293</f>
        <v>0.6</v>
      </c>
      <c r="F607" s="335">
        <f t="shared" ref="F607:F608" si="95">C607*D607*E607</f>
        <v>3834.5598000000005</v>
      </c>
      <c r="G607" s="327">
        <f>F607/SUM($F$606:$F$608)</f>
        <v>0.64807402468146491</v>
      </c>
      <c r="H607" s="326">
        <f>(B607*C607)/SUMPRODUCT($B$606:$B$608,$C$606:$C$608)</f>
        <v>0.57070626561262672</v>
      </c>
    </row>
    <row r="608" spans="1:12" x14ac:dyDescent="0.3">
      <c r="A608" s="491" t="s">
        <v>38</v>
      </c>
      <c r="B608" s="496">
        <f>ROUND(SUMPRODUCT(F182:F188,E86:E92)/SUM(E86:E92),0)</f>
        <v>38238</v>
      </c>
      <c r="C608" s="518">
        <f>ROUND(SUM(E86:E92),3)</f>
        <v>195.309</v>
      </c>
      <c r="D608" s="526">
        <f>F41</f>
        <v>2.8</v>
      </c>
      <c r="E608" s="524">
        <f>B294</f>
        <v>0.7</v>
      </c>
      <c r="F608" s="335">
        <f t="shared" si="95"/>
        <v>382.80563999999993</v>
      </c>
      <c r="G608" s="327">
        <f>F608/SUM($F$606:$F$608)</f>
        <v>6.4697489340383704E-2</v>
      </c>
      <c r="H608" s="326">
        <f>(B608*C608)/SUMPRODUCT($B$606:$B$608,$C$606:$C$608)</f>
        <v>5.4190775192701893E-2</v>
      </c>
    </row>
    <row r="609" spans="1:8" ht="16.2" thickBot="1" x14ac:dyDescent="0.35">
      <c r="A609" s="492" t="s">
        <v>27</v>
      </c>
      <c r="B609" s="497">
        <f>ROUND(SUMPRODUCT(F161:F167,E65:E71)/SUM(E65:E71),0)</f>
        <v>5649</v>
      </c>
      <c r="C609" s="498">
        <v>4906</v>
      </c>
      <c r="D609" s="516"/>
      <c r="E609" s="516"/>
      <c r="F609" s="350"/>
      <c r="G609" s="350"/>
      <c r="H609" s="516"/>
    </row>
    <row r="610" spans="1:8" x14ac:dyDescent="0.3">
      <c r="H610" s="519"/>
    </row>
    <row r="612" spans="1:8" ht="16.2" thickBot="1" x14ac:dyDescent="0.35">
      <c r="A612" s="89" t="s">
        <v>295</v>
      </c>
    </row>
    <row r="613" spans="1:8" ht="16.2" thickBot="1" x14ac:dyDescent="0.35">
      <c r="A613" s="358"/>
      <c r="B613" s="323" t="s">
        <v>27</v>
      </c>
      <c r="C613" s="323" t="s">
        <v>36</v>
      </c>
      <c r="D613" s="323" t="s">
        <v>37</v>
      </c>
      <c r="E613" s="486" t="s">
        <v>38</v>
      </c>
    </row>
    <row r="614" spans="1:8" x14ac:dyDescent="0.3">
      <c r="A614" s="515" t="s">
        <v>27</v>
      </c>
      <c r="B614" s="536">
        <f>I325+I329</f>
        <v>0.56000000000000005</v>
      </c>
      <c r="C614" s="567">
        <f>J599</f>
        <v>2.3E-2</v>
      </c>
      <c r="D614" s="567">
        <f>K599</f>
        <v>4.4999999999999998E-2</v>
      </c>
      <c r="E614" s="568">
        <f>L599</f>
        <v>0.06</v>
      </c>
    </row>
    <row r="615" spans="1:8" x14ac:dyDescent="0.3">
      <c r="A615" s="515" t="s">
        <v>36</v>
      </c>
      <c r="B615" s="533">
        <f>B599</f>
        <v>-0.03</v>
      </c>
      <c r="C615" s="537">
        <f>J333</f>
        <v>0.6</v>
      </c>
      <c r="D615" s="528"/>
      <c r="E615" s="458"/>
    </row>
    <row r="616" spans="1:8" x14ac:dyDescent="0.3">
      <c r="A616" s="515" t="s">
        <v>37</v>
      </c>
      <c r="B616" s="533">
        <f>B600</f>
        <v>-0.04</v>
      </c>
      <c r="C616" s="528"/>
      <c r="D616" s="537">
        <f>J337</f>
        <v>0.65</v>
      </c>
      <c r="E616" s="458"/>
    </row>
    <row r="617" spans="1:8" ht="16.2" thickBot="1" x14ac:dyDescent="0.35">
      <c r="A617" s="516" t="s">
        <v>38</v>
      </c>
      <c r="B617" s="534">
        <f>B601</f>
        <v>-0.05</v>
      </c>
      <c r="C617" s="535"/>
      <c r="D617" s="535"/>
      <c r="E617" s="538">
        <f>J341</f>
        <v>0.75</v>
      </c>
    </row>
    <row r="620" spans="1:8" x14ac:dyDescent="0.3">
      <c r="A620" s="89" t="s">
        <v>324</v>
      </c>
    </row>
    <row r="621" spans="1:8" x14ac:dyDescent="0.3">
      <c r="A621" s="428" t="s">
        <v>310</v>
      </c>
    </row>
    <row r="622" spans="1:8" x14ac:dyDescent="0.3">
      <c r="A622" s="428" t="s">
        <v>334</v>
      </c>
    </row>
    <row r="623" spans="1:8" x14ac:dyDescent="0.3">
      <c r="A623" s="428" t="s">
        <v>335</v>
      </c>
    </row>
    <row r="624" spans="1:8" x14ac:dyDescent="0.3">
      <c r="A624" s="428" t="s">
        <v>336</v>
      </c>
    </row>
    <row r="625" spans="1:5" x14ac:dyDescent="0.3">
      <c r="A625" s="428" t="s">
        <v>337</v>
      </c>
    </row>
    <row r="626" spans="1:5" x14ac:dyDescent="0.3">
      <c r="A626" s="428" t="s">
        <v>338</v>
      </c>
    </row>
    <row r="627" spans="1:5" x14ac:dyDescent="0.3">
      <c r="B627" s="4" t="s">
        <v>311</v>
      </c>
    </row>
    <row r="628" spans="1:5" x14ac:dyDescent="0.3">
      <c r="B628" s="7" t="s">
        <v>312</v>
      </c>
    </row>
    <row r="629" spans="1:5" x14ac:dyDescent="0.3">
      <c r="B629" s="7" t="s">
        <v>313</v>
      </c>
    </row>
    <row r="630" spans="1:5" x14ac:dyDescent="0.3">
      <c r="B630" s="7" t="s">
        <v>314</v>
      </c>
    </row>
    <row r="631" spans="1:5" x14ac:dyDescent="0.3">
      <c r="B631" s="7" t="s">
        <v>339</v>
      </c>
    </row>
    <row r="632" spans="1:5" x14ac:dyDescent="0.3">
      <c r="A632" s="7" t="s">
        <v>340</v>
      </c>
    </row>
    <row r="633" spans="1:5" x14ac:dyDescent="0.3">
      <c r="B633" s="4" t="s">
        <v>315</v>
      </c>
    </row>
    <row r="634" spans="1:5" x14ac:dyDescent="0.3">
      <c r="B634" s="7" t="s">
        <v>316</v>
      </c>
    </row>
    <row r="636" spans="1:5" ht="16.2" thickBot="1" x14ac:dyDescent="0.35">
      <c r="B636" s="4" t="s">
        <v>317</v>
      </c>
    </row>
    <row r="637" spans="1:5" ht="16.2" thickBot="1" x14ac:dyDescent="0.35">
      <c r="B637" s="520"/>
      <c r="C637" s="557" t="s">
        <v>36</v>
      </c>
      <c r="D637" s="557" t="s">
        <v>37</v>
      </c>
      <c r="E637" s="558" t="s">
        <v>38</v>
      </c>
    </row>
    <row r="638" spans="1:5" x14ac:dyDescent="0.3">
      <c r="B638" s="515" t="s">
        <v>318</v>
      </c>
      <c r="C638" s="559">
        <v>5.5E-2</v>
      </c>
      <c r="D638" s="559">
        <v>0.112</v>
      </c>
      <c r="E638" s="560">
        <v>1.2999999999999999E-2</v>
      </c>
    </row>
    <row r="639" spans="1:5" ht="16.2" thickBot="1" x14ac:dyDescent="0.35">
      <c r="B639" s="516" t="s">
        <v>319</v>
      </c>
      <c r="C639" s="561">
        <v>0.159</v>
      </c>
      <c r="D639" s="561">
        <v>0.14299999999999999</v>
      </c>
      <c r="E639" s="562">
        <v>0.17</v>
      </c>
    </row>
    <row r="641" spans="1:1" x14ac:dyDescent="0.3">
      <c r="A641" s="7" t="s">
        <v>320</v>
      </c>
    </row>
    <row r="642" spans="1:1" x14ac:dyDescent="0.3">
      <c r="A642" s="7" t="s">
        <v>321</v>
      </c>
    </row>
    <row r="643" spans="1:1" x14ac:dyDescent="0.3">
      <c r="A643" s="7" t="s">
        <v>322</v>
      </c>
    </row>
    <row r="644" spans="1:1" x14ac:dyDescent="0.3">
      <c r="A644" s="428" t="s">
        <v>323</v>
      </c>
    </row>
  </sheetData>
  <mergeCells count="4">
    <mergeCell ref="L279:M279"/>
    <mergeCell ref="J279:J280"/>
    <mergeCell ref="I279:I280"/>
    <mergeCell ref="I269:I270"/>
  </mergeCells>
  <hyperlinks>
    <hyperlink ref="B4" location="INPUT!A36" display="MPAR"/>
    <hyperlink ref="A36" location="INPUT!A1" display="TABLE MPAR(C,*) Market parameters"/>
    <hyperlink ref="B5" location="INPUT!A43" display="AREA0"/>
    <hyperlink ref="A43" location="INPUT!A1" display="TABLE AREA0(F,R,U) Original crop area for urban-rural consumption 2014 (1000ha)"/>
    <hyperlink ref="B6" location="INPUT!A53" display="YIELD0"/>
    <hyperlink ref="A53" location="INPUT!A1" display="TABLE YIELD0(F,R,U) Original crop yield for urban-rural consumers 2014 (ton per har)"/>
    <hyperlink ref="B7" location="INPUT!A63" display="PROD0"/>
    <hyperlink ref="A63" location="INPUT!A1" display="TABLE PROD0(C,R,U) Original production oriented for urban &amp; rural consumer groups 2014 (1000tons)"/>
    <hyperlink ref="B8" location="INPUT!A94" display="CRPROD0"/>
    <hyperlink ref="A94" location="INPUT!A1" display="TABLE CRPROD0(F,R,U) Original production for urban-rural cons. 2014 (1000tons)"/>
    <hyperlink ref="B9" location="INPUT!A104" display="LVPROD0"/>
    <hyperlink ref="A104" location="INPUT!A1" display="TABLE LVPROD0(L,R,U) Original lvstck prodtn for urban-rural cons. 2014 (1000tons LW)"/>
    <hyperlink ref="B10" location="INPUT!A128" display="DPC0"/>
    <hyperlink ref="A128" location="INPUT!A1" display="TABLE DPC0(C,R,U) Original per capita food cons. 2014 (kg per per year)"/>
    <hyperlink ref="B11" location="INPUT!A159" display="PD0"/>
    <hyperlink ref="A159" location="INPUT!A1" display="TABLE PD0(C,R,U) Original consumer price 2014 (Dong per kg)"/>
    <hyperlink ref="B12" location="INPUT!A190" display="PDB"/>
    <hyperlink ref="A190" location="INPUT!A1" display="TABLE PDB(C,R,U)  Base scenario consumer price (Dong per kg)"/>
    <hyperlink ref="B13" location="INPUT!A221" display="PW0"/>
    <hyperlink ref="A221" location="INPUT!A1" display="TABLE PW0(C,*) Original world prices 2014 (US$ per ton)"/>
    <hyperlink ref="B14" location="INPUT!A228" display="TRADE"/>
    <hyperlink ref="A228" location="INPUT!A1" display="TABLE TRADE(C,*) Import and export volumes 2014 (1000 tons)"/>
    <hyperlink ref="B15" location="INPUT!A235" display="IDEN1"/>
    <hyperlink ref="A235" location="INPUT!A1" display="TABLE IDEN1(C,F)  Identity matrix for proper dimension of feed demand in inflows"/>
    <hyperlink ref="B16" location="INPUT!A242" display="IDEN2"/>
    <hyperlink ref="A242" location="INPUT!A1" display="TABLE IDEN2(C,L)  Identity matrix for proper dimension of lstck Supply in outflows"/>
    <hyperlink ref="B17" location="INPUT!A249" display="KM"/>
    <hyperlink ref="A249" location="INPUT!A1" display="TABLE KM(RW,RRW,*) Distance (km)"/>
    <hyperlink ref="B18" location="INPUT!A269" display="YPC0"/>
    <hyperlink ref="A269" location="INPUT!A1" display="TABLE YPC0(R,U)   Urban &amp; rural per capita income in 2013 (m Dong per person per yr)"/>
    <hyperlink ref="B19" location="INPUT!A279" display="POP0"/>
    <hyperlink ref="A279" location="INPUT!A1" display="TABLE POP0(R,U)    Urban &amp; rural population in 2014 (1000 inhabitants)"/>
    <hyperlink ref="B20" location="INPUT!A290" display="FEEDSHARE"/>
    <hyperlink ref="A290" location="INPUT!A1" display="TABLE FEEDSHARE(L,F) Share of each feed in total composite feed demand (fraction)"/>
    <hyperlink ref="B21" location="INPUT!A296" display="ADJ"/>
    <hyperlink ref="A296" location="INPUT!A1" display="TABLE ADJ(C,*) Adjustment factor to match VHLSS consumption with national data."/>
    <hyperlink ref="B22" location="INPUT!A303" display="YGR"/>
    <hyperlink ref="A303" location="INPUT!A1" display="TABLE YGR(R,U) Annual income growth 2015-2025 (fraction)"/>
    <hyperlink ref="B23" location="INPUT!A313" display="PGR"/>
    <hyperlink ref="A313" location="INPUT!A1" display="TABLE PGR(R,U) Annual population growth 2015-2025 (fraction)"/>
    <hyperlink ref="B24" location="INPUT!A323" display="AREAE"/>
    <hyperlink ref="A323" location="INPUT!A1" display="TABLE AREAE(F,R)  Elasticity of crop area wrt output price"/>
    <hyperlink ref="B25" location="INPUT!A327" display="YIELDE"/>
    <hyperlink ref="A327" location="INPUT!A1" display="TABLE YIELDE(F,R) Elasticity of crop yield wrt output price"/>
    <hyperlink ref="B26" location="INPUT!A331" display="LVELAS"/>
    <hyperlink ref="A331" location="INPUT!A1" display="TABLE LVELAS(L,LL,R) Elasticity of livestock supply wrt output prices"/>
    <hyperlink ref="B27" location="INPUT!A343" display="LVFDEL"/>
    <hyperlink ref="A343" location="INPUT!A1" display="TABLE LVFDEL(L,F)  Elasticity of livestock supply wrt feed prices"/>
    <hyperlink ref="B28" location="INPUT!A349" display="DYE"/>
    <hyperlink ref="A349" location="INPUT!A1" display="TABLE  DYE(C,R,U) Food demand elasticity wrt consumer income (AIDS V01)"/>
    <hyperlink ref="B29" location="INPUT!A380" display="DPE"/>
    <hyperlink ref="A380" location="INPUT!A1" display="TABLE DPE(C,CC,R,U) Food demand elasticities wrt food prices (AIDS V01)"/>
    <hyperlink ref="B30" location="INPUT!A495" display="FDELAS"/>
    <hyperlink ref="A495" location="INPUT!A1" display="TABLE FDELAS(F,F) Elasticity feed Demand wrt feed own prices"/>
    <hyperlink ref="B31" location="INPUT!A499" display="PWGR"/>
    <hyperlink ref="A499" location="INPUT!A1" display="PWGR(T,C) World Commodity Price Annual Growth Rate (fraction)"/>
    <hyperlink ref="B32" location="INPUT!A517" display="TAX0"/>
    <hyperlink ref="A517" location="INPUT!A1" display="TABLE PW0(C,*) Original world prices 2014 (US$ per ton)"/>
    <hyperlink ref="A535" location="INPUT!A1" display="TABLE LVFDEL(L,F)  Elasticity of livestock supply wrt feed prices"/>
    <hyperlink ref="B33" location="INPUT!A525" display="FEEDLVEL"/>
    <hyperlink ref="J37" location="INPUT!A535" display="FEEDLVEL"/>
    <hyperlink ref="A525" location="INPUT!A1" display="AREALVEL(F,L,R) Elasticity of feed crop area wrt livestock prices"/>
    <hyperlink ref="A530" location="INPUT!A1" display="YIELDLVEL(F,L,R) Elasticity of feed crop yield wrt livestock prices"/>
    <hyperlink ref="B34" location="INPUT!A530" display="YIELDLVEL"/>
  </hyperlink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3"/>
  <sheetViews>
    <sheetView topLeftCell="A19" zoomScale="80" zoomScaleNormal="80" workbookViewId="0">
      <selection activeCell="G44" sqref="G44"/>
    </sheetView>
  </sheetViews>
  <sheetFormatPr defaultRowHeight="15.6" x14ac:dyDescent="0.3"/>
  <cols>
    <col min="1" max="1" width="11.19921875" style="1" customWidth="1"/>
    <col min="2" max="2" width="13.796875" style="1" customWidth="1"/>
    <col min="3" max="3" width="15.3984375" style="1" customWidth="1"/>
    <col min="4" max="4" width="8.5" style="1" bestFit="1" customWidth="1"/>
    <col min="5" max="5" width="8.296875" style="1" customWidth="1"/>
    <col min="6" max="6" width="11.19921875" style="1" bestFit="1" customWidth="1"/>
    <col min="7" max="7" width="22.796875" style="1" customWidth="1"/>
    <col min="8" max="16384" width="8.796875" style="1"/>
  </cols>
  <sheetData>
    <row r="1" spans="1:7" x14ac:dyDescent="0.3">
      <c r="A1" s="9" t="s">
        <v>0</v>
      </c>
      <c r="B1" s="2"/>
      <c r="C1" s="2"/>
      <c r="D1" s="2"/>
    </row>
    <row r="2" spans="1:7" x14ac:dyDescent="0.3">
      <c r="A2" s="13" t="s">
        <v>74</v>
      </c>
      <c r="B2" s="2"/>
      <c r="C2" s="2"/>
      <c r="D2" s="2"/>
    </row>
    <row r="3" spans="1:7" ht="16.2" thickBot="1" x14ac:dyDescent="0.35">
      <c r="A3" s="11" t="s">
        <v>1</v>
      </c>
      <c r="B3" s="10"/>
      <c r="C3" s="2"/>
      <c r="D3" s="10"/>
      <c r="E3" s="2"/>
    </row>
    <row r="4" spans="1:7" ht="16.2" thickBot="1" x14ac:dyDescent="0.35">
      <c r="A4" s="3"/>
      <c r="B4" s="12"/>
      <c r="C4" s="12"/>
      <c r="D4" s="6" t="s">
        <v>2</v>
      </c>
      <c r="E4" s="8" t="s">
        <v>3</v>
      </c>
    </row>
    <row r="5" spans="1:7" x14ac:dyDescent="0.3">
      <c r="A5" s="100" t="s">
        <v>4</v>
      </c>
      <c r="B5" s="101" t="s">
        <v>112</v>
      </c>
      <c r="C5" s="102" t="s">
        <v>145</v>
      </c>
      <c r="D5" s="101">
        <v>1</v>
      </c>
      <c r="E5" s="103">
        <v>1</v>
      </c>
      <c r="F5" s="1">
        <v>1</v>
      </c>
      <c r="G5" s="1" t="str">
        <f>G34</f>
        <v>MPAR(C,*) = (A34:F38)</v>
      </c>
    </row>
    <row r="6" spans="1:7" x14ac:dyDescent="0.3">
      <c r="A6" s="104" t="s">
        <v>4</v>
      </c>
      <c r="B6" s="105" t="s">
        <v>5</v>
      </c>
      <c r="C6" s="106" t="s">
        <v>146</v>
      </c>
      <c r="D6" s="105">
        <v>2</v>
      </c>
      <c r="E6" s="107">
        <v>1</v>
      </c>
      <c r="F6" s="1">
        <v>2</v>
      </c>
      <c r="G6" s="1" t="str">
        <f>G41</f>
        <v>AREA0(F,R,U) = A41:D48</v>
      </c>
    </row>
    <row r="7" spans="1:7" x14ac:dyDescent="0.3">
      <c r="A7" s="104" t="s">
        <v>4</v>
      </c>
      <c r="B7" s="105" t="s">
        <v>6</v>
      </c>
      <c r="C7" s="106" t="s">
        <v>147</v>
      </c>
      <c r="D7" s="105">
        <v>2</v>
      </c>
      <c r="E7" s="107">
        <v>1</v>
      </c>
      <c r="F7" s="1">
        <v>3</v>
      </c>
      <c r="G7" s="1" t="str">
        <f>G51</f>
        <v>YIELD(F,R,U) = A51:D58</v>
      </c>
    </row>
    <row r="8" spans="1:7" x14ac:dyDescent="0.3">
      <c r="A8" s="104" t="s">
        <v>4</v>
      </c>
      <c r="B8" s="105" t="s">
        <v>7</v>
      </c>
      <c r="C8" s="106" t="s">
        <v>148</v>
      </c>
      <c r="D8" s="105">
        <v>2</v>
      </c>
      <c r="E8" s="107">
        <v>1</v>
      </c>
      <c r="F8" s="1">
        <v>4</v>
      </c>
      <c r="G8" s="1" t="str">
        <f>G61</f>
        <v>PROD0(C,R,U) = A61:D89</v>
      </c>
    </row>
    <row r="9" spans="1:7" x14ac:dyDescent="0.3">
      <c r="A9" s="104" t="s">
        <v>4</v>
      </c>
      <c r="B9" s="105" t="s">
        <v>8</v>
      </c>
      <c r="C9" s="106" t="s">
        <v>149</v>
      </c>
      <c r="D9" s="105">
        <v>2</v>
      </c>
      <c r="E9" s="107">
        <v>1</v>
      </c>
      <c r="F9" s="1">
        <v>5</v>
      </c>
      <c r="G9" s="1" t="str">
        <f>G92</f>
        <v>CRPROD0(F,R,U) = A92:D99</v>
      </c>
    </row>
    <row r="10" spans="1:7" x14ac:dyDescent="0.3">
      <c r="A10" s="104" t="s">
        <v>4</v>
      </c>
      <c r="B10" s="105" t="s">
        <v>9</v>
      </c>
      <c r="C10" s="106" t="s">
        <v>150</v>
      </c>
      <c r="D10" s="105">
        <v>2</v>
      </c>
      <c r="E10" s="107">
        <v>1</v>
      </c>
      <c r="F10" s="1">
        <v>6</v>
      </c>
      <c r="G10" s="1" t="str">
        <f>G102</f>
        <v>LVPROD0(L,R,U) = A102:D123</v>
      </c>
    </row>
    <row r="11" spans="1:7" x14ac:dyDescent="0.3">
      <c r="A11" s="104" t="s">
        <v>4</v>
      </c>
      <c r="B11" s="105" t="s">
        <v>10</v>
      </c>
      <c r="C11" s="106" t="s">
        <v>151</v>
      </c>
      <c r="D11" s="105">
        <v>2</v>
      </c>
      <c r="E11" s="107">
        <v>1</v>
      </c>
      <c r="F11" s="1">
        <v>7</v>
      </c>
      <c r="G11" s="1" t="str">
        <f>G126</f>
        <v>DPC0(C,R,U) = A126:D154</v>
      </c>
    </row>
    <row r="12" spans="1:7" x14ac:dyDescent="0.3">
      <c r="A12" s="104" t="s">
        <v>4</v>
      </c>
      <c r="B12" s="105" t="s">
        <v>11</v>
      </c>
      <c r="C12" s="106" t="s">
        <v>152</v>
      </c>
      <c r="D12" s="105">
        <v>2</v>
      </c>
      <c r="E12" s="107">
        <v>1</v>
      </c>
      <c r="F12" s="1">
        <v>8</v>
      </c>
      <c r="G12" s="1" t="str">
        <f>G157</f>
        <v>PD0(C,R,U) = A157:D185</v>
      </c>
    </row>
    <row r="13" spans="1:7" x14ac:dyDescent="0.3">
      <c r="A13" s="104" t="s">
        <v>4</v>
      </c>
      <c r="B13" s="105" t="s">
        <v>12</v>
      </c>
      <c r="C13" s="106" t="s">
        <v>153</v>
      </c>
      <c r="D13" s="105">
        <v>2</v>
      </c>
      <c r="E13" s="107">
        <v>1</v>
      </c>
      <c r="F13" s="1">
        <v>9</v>
      </c>
      <c r="G13" s="1" t="str">
        <f>G188</f>
        <v>PDB(C,R,U) = A188:D216</v>
      </c>
    </row>
    <row r="14" spans="1:7" x14ac:dyDescent="0.3">
      <c r="A14" s="104" t="s">
        <v>4</v>
      </c>
      <c r="B14" s="105" t="s">
        <v>114</v>
      </c>
      <c r="C14" s="106" t="s">
        <v>154</v>
      </c>
      <c r="D14" s="105">
        <v>1</v>
      </c>
      <c r="E14" s="107">
        <v>1</v>
      </c>
      <c r="F14" s="1">
        <v>10</v>
      </c>
      <c r="G14" s="1" t="str">
        <f>G219</f>
        <v>PW0(C,*) = A219:C223</v>
      </c>
    </row>
    <row r="15" spans="1:7" x14ac:dyDescent="0.3">
      <c r="A15" s="104" t="s">
        <v>4</v>
      </c>
      <c r="B15" s="105" t="s">
        <v>115</v>
      </c>
      <c r="C15" s="106" t="s">
        <v>155</v>
      </c>
      <c r="D15" s="105">
        <v>1</v>
      </c>
      <c r="E15" s="107">
        <v>1</v>
      </c>
      <c r="F15" s="1">
        <v>11</v>
      </c>
      <c r="G15" s="1" t="str">
        <f>G226</f>
        <v>TRADE(C,*) = A226:C230</v>
      </c>
    </row>
    <row r="16" spans="1:7" x14ac:dyDescent="0.3">
      <c r="A16" s="104" t="s">
        <v>4</v>
      </c>
      <c r="B16" s="105" t="s">
        <v>13</v>
      </c>
      <c r="C16" s="106" t="s">
        <v>156</v>
      </c>
      <c r="D16" s="108">
        <v>1</v>
      </c>
      <c r="E16" s="109">
        <v>1</v>
      </c>
      <c r="F16" s="1">
        <v>12</v>
      </c>
      <c r="G16" s="1" t="str">
        <f>G233</f>
        <v>IDEN1(C,F) = A233:B237</v>
      </c>
    </row>
    <row r="17" spans="1:7" x14ac:dyDescent="0.3">
      <c r="A17" s="104" t="s">
        <v>4</v>
      </c>
      <c r="B17" s="105" t="s">
        <v>14</v>
      </c>
      <c r="C17" s="106" t="s">
        <v>157</v>
      </c>
      <c r="D17" s="108">
        <v>1</v>
      </c>
      <c r="E17" s="109">
        <v>1</v>
      </c>
      <c r="F17" s="1">
        <v>13</v>
      </c>
      <c r="G17" s="1" t="str">
        <f>G240</f>
        <v>IDEN2(C,L) = A240:D244</v>
      </c>
    </row>
    <row r="18" spans="1:7" x14ac:dyDescent="0.3">
      <c r="A18" s="104" t="s">
        <v>4</v>
      </c>
      <c r="B18" s="105" t="s">
        <v>15</v>
      </c>
      <c r="C18" s="106" t="s">
        <v>158</v>
      </c>
      <c r="D18" s="108">
        <v>2</v>
      </c>
      <c r="E18" s="109">
        <v>1</v>
      </c>
      <c r="F18" s="1">
        <v>14</v>
      </c>
      <c r="G18" s="1" t="str">
        <f>G247</f>
        <v>KM(RW,RRW,*) = A247:E264</v>
      </c>
    </row>
    <row r="19" spans="1:7" x14ac:dyDescent="0.3">
      <c r="A19" s="104" t="s">
        <v>4</v>
      </c>
      <c r="B19" s="105" t="s">
        <v>16</v>
      </c>
      <c r="C19" s="106" t="s">
        <v>159</v>
      </c>
      <c r="D19" s="108">
        <v>1</v>
      </c>
      <c r="E19" s="109">
        <v>1</v>
      </c>
      <c r="F19" s="1">
        <v>15</v>
      </c>
      <c r="G19" s="1" t="str">
        <f>G267</f>
        <v>YPC0(R,U) = A267:C274</v>
      </c>
    </row>
    <row r="20" spans="1:7" x14ac:dyDescent="0.3">
      <c r="A20" s="104" t="s">
        <v>4</v>
      </c>
      <c r="B20" s="105" t="s">
        <v>17</v>
      </c>
      <c r="C20" s="106" t="s">
        <v>160</v>
      </c>
      <c r="D20" s="108">
        <v>1</v>
      </c>
      <c r="E20" s="109">
        <v>1</v>
      </c>
      <c r="F20" s="1">
        <v>16</v>
      </c>
      <c r="G20" s="1" t="str">
        <f>G277</f>
        <v>POP0(R,U) = A277:C284</v>
      </c>
    </row>
    <row r="21" spans="1:7" x14ac:dyDescent="0.3">
      <c r="A21" s="104" t="s">
        <v>4</v>
      </c>
      <c r="B21" s="105" t="s">
        <v>73</v>
      </c>
      <c r="C21" s="106" t="s">
        <v>161</v>
      </c>
      <c r="D21" s="108">
        <v>1</v>
      </c>
      <c r="E21" s="109">
        <v>1</v>
      </c>
      <c r="F21" s="1">
        <v>17</v>
      </c>
      <c r="G21" s="1" t="str">
        <f>G287</f>
        <v>FEEDSHARE(L,F) = A287:B290</v>
      </c>
    </row>
    <row r="22" spans="1:7" x14ac:dyDescent="0.3">
      <c r="A22" s="104" t="s">
        <v>4</v>
      </c>
      <c r="B22" s="105" t="s">
        <v>88</v>
      </c>
      <c r="C22" s="106" t="s">
        <v>162</v>
      </c>
      <c r="D22" s="108">
        <v>1</v>
      </c>
      <c r="E22" s="109">
        <v>1</v>
      </c>
      <c r="F22" s="1">
        <v>18</v>
      </c>
      <c r="G22" s="1" t="str">
        <f>G293</f>
        <v>ADJ(C,*) = A293:C297</v>
      </c>
    </row>
    <row r="23" spans="1:7" x14ac:dyDescent="0.3">
      <c r="A23" s="104" t="s">
        <v>4</v>
      </c>
      <c r="B23" s="105" t="s">
        <v>84</v>
      </c>
      <c r="C23" s="106" t="s">
        <v>163</v>
      </c>
      <c r="D23" s="105">
        <v>1</v>
      </c>
      <c r="E23" s="107">
        <v>1</v>
      </c>
      <c r="F23" s="1">
        <v>19</v>
      </c>
      <c r="G23" s="1" t="str">
        <f>G300</f>
        <v>YGR(R,U) = A300:C307</v>
      </c>
    </row>
    <row r="24" spans="1:7" ht="16.2" thickBot="1" x14ac:dyDescent="0.35">
      <c r="A24" s="110" t="s">
        <v>4</v>
      </c>
      <c r="B24" s="111" t="s">
        <v>85</v>
      </c>
      <c r="C24" s="112" t="s">
        <v>164</v>
      </c>
      <c r="D24" s="111">
        <v>1</v>
      </c>
      <c r="E24" s="113">
        <v>1</v>
      </c>
      <c r="F24" s="1">
        <v>20</v>
      </c>
      <c r="G24" s="1" t="str">
        <f>G310</f>
        <v>PGR(R,U) = A310:C317</v>
      </c>
    </row>
    <row r="25" spans="1:7" x14ac:dyDescent="0.3">
      <c r="A25" s="100" t="s">
        <v>4</v>
      </c>
      <c r="B25" s="101" t="s">
        <v>18</v>
      </c>
      <c r="C25" s="102" t="s">
        <v>124</v>
      </c>
      <c r="D25" s="124">
        <v>1</v>
      </c>
      <c r="E25" s="125">
        <v>1</v>
      </c>
      <c r="F25" s="1">
        <v>21</v>
      </c>
      <c r="G25" s="1" t="str">
        <f>J320</f>
        <v>AREAE(F,R) = A320:H321</v>
      </c>
    </row>
    <row r="26" spans="1:7" x14ac:dyDescent="0.3">
      <c r="A26" s="104" t="s">
        <v>4</v>
      </c>
      <c r="B26" s="105" t="s">
        <v>19</v>
      </c>
      <c r="C26" s="106" t="s">
        <v>165</v>
      </c>
      <c r="D26" s="108">
        <v>1</v>
      </c>
      <c r="E26" s="109">
        <v>1</v>
      </c>
      <c r="F26" s="1">
        <v>22</v>
      </c>
      <c r="G26" s="1" t="str">
        <f>J324</f>
        <v>YIELDE(F,R) = A324:H325</v>
      </c>
    </row>
    <row r="27" spans="1:7" x14ac:dyDescent="0.3">
      <c r="A27" s="104" t="s">
        <v>4</v>
      </c>
      <c r="B27" s="108" t="s">
        <v>20</v>
      </c>
      <c r="C27" s="106" t="s">
        <v>166</v>
      </c>
      <c r="D27" s="105">
        <v>2</v>
      </c>
      <c r="E27" s="107">
        <v>1</v>
      </c>
      <c r="F27" s="1">
        <v>23</v>
      </c>
      <c r="G27" s="1" t="str">
        <f>K328</f>
        <v>LVELAS(L,LL,R) = A328:I337</v>
      </c>
    </row>
    <row r="28" spans="1:7" x14ac:dyDescent="0.3">
      <c r="A28" s="104" t="s">
        <v>4</v>
      </c>
      <c r="B28" s="105" t="s">
        <v>21</v>
      </c>
      <c r="C28" s="106" t="s">
        <v>167</v>
      </c>
      <c r="D28" s="108">
        <v>1</v>
      </c>
      <c r="E28" s="109">
        <v>1</v>
      </c>
      <c r="F28" s="1">
        <v>24</v>
      </c>
      <c r="G28" s="1" t="str">
        <f>K340</f>
        <v>LVFDEL(L,F) = A340:B343</v>
      </c>
    </row>
    <row r="29" spans="1:7" x14ac:dyDescent="0.3">
      <c r="A29" s="104" t="s">
        <v>4</v>
      </c>
      <c r="B29" s="105" t="s">
        <v>22</v>
      </c>
      <c r="C29" s="106" t="s">
        <v>168</v>
      </c>
      <c r="D29" s="105">
        <v>2</v>
      </c>
      <c r="E29" s="107">
        <v>1</v>
      </c>
      <c r="F29" s="1">
        <v>25</v>
      </c>
      <c r="G29" s="1" t="str">
        <f>K346</f>
        <v>DYE(C,R,U) = A346:D374</v>
      </c>
    </row>
    <row r="30" spans="1:7" x14ac:dyDescent="0.3">
      <c r="A30" s="104" t="s">
        <v>4</v>
      </c>
      <c r="B30" s="105" t="s">
        <v>23</v>
      </c>
      <c r="C30" s="106" t="s">
        <v>171</v>
      </c>
      <c r="D30" s="108">
        <v>3</v>
      </c>
      <c r="E30" s="109">
        <v>1</v>
      </c>
      <c r="F30" s="1">
        <v>26</v>
      </c>
      <c r="G30" s="1" t="str">
        <f>K377</f>
        <v>DPE(C,CC,R,U) = A377:E489</v>
      </c>
    </row>
    <row r="31" spans="1:7" ht="16.2" thickBot="1" x14ac:dyDescent="0.35">
      <c r="A31" s="110" t="s">
        <v>4</v>
      </c>
      <c r="B31" s="111" t="s">
        <v>24</v>
      </c>
      <c r="C31" s="112" t="s">
        <v>172</v>
      </c>
      <c r="D31" s="111">
        <v>1</v>
      </c>
      <c r="E31" s="113">
        <v>1</v>
      </c>
      <c r="F31" s="1">
        <v>27</v>
      </c>
      <c r="G31" s="1" t="str">
        <f>K492</f>
        <v>FDELAS(F,F) = A492:B493</v>
      </c>
    </row>
    <row r="33" spans="1:9" ht="16.2" thickBot="1" x14ac:dyDescent="0.35">
      <c r="A33" s="89" t="s">
        <v>113</v>
      </c>
    </row>
    <row r="34" spans="1:9" ht="16.2" thickBot="1" x14ac:dyDescent="0.35">
      <c r="A34" s="66"/>
      <c r="B34" s="74" t="s">
        <v>70</v>
      </c>
      <c r="C34" s="74" t="s">
        <v>87</v>
      </c>
      <c r="D34" s="74" t="s">
        <v>71</v>
      </c>
      <c r="E34" s="94" t="s">
        <v>72</v>
      </c>
      <c r="F34" s="90" t="s">
        <v>111</v>
      </c>
      <c r="G34" s="117" t="s">
        <v>125</v>
      </c>
      <c r="H34" s="98"/>
      <c r="I34" s="1" t="s">
        <v>173</v>
      </c>
    </row>
    <row r="35" spans="1:9" x14ac:dyDescent="0.3">
      <c r="A35" s="67" t="s">
        <v>27</v>
      </c>
      <c r="B35" s="44">
        <v>0.9</v>
      </c>
      <c r="C35" s="569">
        <v>0.1</v>
      </c>
      <c r="D35" s="71">
        <v>1</v>
      </c>
      <c r="E35" s="95"/>
      <c r="F35" s="91"/>
      <c r="G35" s="118"/>
      <c r="I35" s="4" t="s">
        <v>100</v>
      </c>
    </row>
    <row r="36" spans="1:9" x14ac:dyDescent="0.3">
      <c r="A36" s="32" t="s">
        <v>36</v>
      </c>
      <c r="B36" s="46">
        <v>0.4</v>
      </c>
      <c r="C36" s="69">
        <v>0.05</v>
      </c>
      <c r="D36" s="69">
        <v>3</v>
      </c>
      <c r="E36" s="96"/>
      <c r="F36" s="92">
        <v>3.8</v>
      </c>
      <c r="G36" s="118"/>
      <c r="I36" s="1" t="s">
        <v>177</v>
      </c>
    </row>
    <row r="37" spans="1:9" x14ac:dyDescent="0.3">
      <c r="A37" s="32" t="s">
        <v>37</v>
      </c>
      <c r="B37" s="46">
        <v>0.4</v>
      </c>
      <c r="C37" s="69">
        <v>0.05</v>
      </c>
      <c r="D37" s="69">
        <v>3</v>
      </c>
      <c r="E37" s="96"/>
      <c r="F37" s="92">
        <v>3</v>
      </c>
      <c r="G37" s="118"/>
      <c r="I37" s="1" t="s">
        <v>178</v>
      </c>
    </row>
    <row r="38" spans="1:9" ht="16.2" thickBot="1" x14ac:dyDescent="0.35">
      <c r="A38" s="38" t="s">
        <v>38</v>
      </c>
      <c r="B38" s="48">
        <v>0.4</v>
      </c>
      <c r="C38" s="70">
        <v>0.05</v>
      </c>
      <c r="D38" s="70">
        <v>3</v>
      </c>
      <c r="E38" s="97">
        <v>10000</v>
      </c>
      <c r="F38" s="93">
        <v>2.8</v>
      </c>
      <c r="G38" s="118"/>
      <c r="I38" s="1" t="s">
        <v>179</v>
      </c>
    </row>
    <row r="39" spans="1:9" x14ac:dyDescent="0.3">
      <c r="G39" s="118"/>
      <c r="I39" s="1" t="s">
        <v>180</v>
      </c>
    </row>
    <row r="40" spans="1:9" ht="16.2" thickBot="1" x14ac:dyDescent="0.35">
      <c r="A40" s="4" t="s">
        <v>89</v>
      </c>
      <c r="G40" s="118"/>
      <c r="I40" s="1" t="s">
        <v>181</v>
      </c>
    </row>
    <row r="41" spans="1:9" ht="16.2" thickBot="1" x14ac:dyDescent="0.35">
      <c r="A41" s="29"/>
      <c r="B41" s="30"/>
      <c r="C41" s="31" t="s">
        <v>25</v>
      </c>
      <c r="D41" s="31" t="s">
        <v>26</v>
      </c>
      <c r="G41" s="119" t="s">
        <v>126</v>
      </c>
      <c r="I41" s="1" t="s">
        <v>182</v>
      </c>
    </row>
    <row r="42" spans="1:9" x14ac:dyDescent="0.3">
      <c r="A42" s="32" t="s">
        <v>27</v>
      </c>
      <c r="B42" s="33" t="s">
        <v>28</v>
      </c>
      <c r="C42" s="34">
        <v>98.7</v>
      </c>
      <c r="D42" s="35">
        <v>418.5</v>
      </c>
      <c r="G42" s="118"/>
    </row>
    <row r="43" spans="1:9" x14ac:dyDescent="0.3">
      <c r="A43" s="32" t="s">
        <v>27</v>
      </c>
      <c r="B43" s="33" t="s">
        <v>29</v>
      </c>
      <c r="C43" s="36">
        <v>54.4</v>
      </c>
      <c r="D43" s="37">
        <v>30.1</v>
      </c>
      <c r="G43" s="118"/>
    </row>
    <row r="44" spans="1:9" x14ac:dyDescent="0.3">
      <c r="A44" s="32" t="s">
        <v>27</v>
      </c>
      <c r="B44" s="33" t="s">
        <v>30</v>
      </c>
      <c r="C44" s="36">
        <v>20.5</v>
      </c>
      <c r="D44" s="37">
        <v>100.7</v>
      </c>
      <c r="G44" s="118"/>
    </row>
    <row r="45" spans="1:9" x14ac:dyDescent="0.3">
      <c r="A45" s="32" t="s">
        <v>27</v>
      </c>
      <c r="B45" s="33" t="s">
        <v>31</v>
      </c>
      <c r="C45" s="36">
        <v>22.4</v>
      </c>
      <c r="D45" s="37">
        <v>57.3</v>
      </c>
      <c r="G45" s="118"/>
    </row>
    <row r="46" spans="1:9" x14ac:dyDescent="0.3">
      <c r="A46" s="32" t="s">
        <v>27</v>
      </c>
      <c r="B46" s="33" t="s">
        <v>32</v>
      </c>
      <c r="C46" s="36">
        <v>120.6</v>
      </c>
      <c r="D46" s="37">
        <v>134.30000000000001</v>
      </c>
      <c r="G46" s="118"/>
    </row>
    <row r="47" spans="1:9" x14ac:dyDescent="0.3">
      <c r="A47" s="32" t="s">
        <v>27</v>
      </c>
      <c r="B47" s="33" t="s">
        <v>33</v>
      </c>
      <c r="C47" s="36">
        <v>76</v>
      </c>
      <c r="D47" s="37">
        <v>3.3</v>
      </c>
      <c r="G47" s="118"/>
    </row>
    <row r="48" spans="1:9" ht="16.2" thickBot="1" x14ac:dyDescent="0.35">
      <c r="A48" s="38" t="s">
        <v>27</v>
      </c>
      <c r="B48" s="39" t="s">
        <v>34</v>
      </c>
      <c r="C48" s="40">
        <v>17.8</v>
      </c>
      <c r="D48" s="41">
        <v>23</v>
      </c>
      <c r="G48" s="118"/>
    </row>
    <row r="49" spans="1:7" x14ac:dyDescent="0.3">
      <c r="A49" s="5" t="s">
        <v>35</v>
      </c>
      <c r="G49" s="118"/>
    </row>
    <row r="50" spans="1:7" ht="16.2" thickBot="1" x14ac:dyDescent="0.35">
      <c r="A50" s="4" t="s">
        <v>103</v>
      </c>
      <c r="G50" s="118"/>
    </row>
    <row r="51" spans="1:7" ht="16.2" thickBot="1" x14ac:dyDescent="0.35">
      <c r="A51" s="29"/>
      <c r="B51" s="30"/>
      <c r="C51" s="42" t="s">
        <v>25</v>
      </c>
      <c r="D51" s="31" t="s">
        <v>26</v>
      </c>
      <c r="G51" s="119" t="s">
        <v>127</v>
      </c>
    </row>
    <row r="52" spans="1:7" x14ac:dyDescent="0.3">
      <c r="A52" s="43" t="s">
        <v>27</v>
      </c>
      <c r="B52" s="43" t="s">
        <v>28</v>
      </c>
      <c r="C52" s="44">
        <v>3.81</v>
      </c>
      <c r="D52" s="45">
        <v>3.81</v>
      </c>
      <c r="G52" s="118"/>
    </row>
    <row r="53" spans="1:7" x14ac:dyDescent="0.3">
      <c r="A53" s="33" t="s">
        <v>27</v>
      </c>
      <c r="B53" s="33" t="s">
        <v>29</v>
      </c>
      <c r="C53" s="46">
        <v>4.49</v>
      </c>
      <c r="D53" s="47">
        <v>4.49</v>
      </c>
      <c r="G53" s="118"/>
    </row>
    <row r="54" spans="1:7" x14ac:dyDescent="0.3">
      <c r="A54" s="33" t="s">
        <v>27</v>
      </c>
      <c r="B54" s="33" t="s">
        <v>30</v>
      </c>
      <c r="C54" s="46">
        <v>4.07</v>
      </c>
      <c r="D54" s="47">
        <v>4.07</v>
      </c>
      <c r="G54" s="118"/>
    </row>
    <row r="55" spans="1:7" x14ac:dyDescent="0.3">
      <c r="A55" s="33" t="s">
        <v>27</v>
      </c>
      <c r="B55" s="33" t="s">
        <v>31</v>
      </c>
      <c r="C55" s="46">
        <v>4.68</v>
      </c>
      <c r="D55" s="47">
        <v>4.68</v>
      </c>
      <c r="G55" s="118"/>
    </row>
    <row r="56" spans="1:7" x14ac:dyDescent="0.3">
      <c r="A56" s="33" t="s">
        <v>27</v>
      </c>
      <c r="B56" s="33" t="s">
        <v>32</v>
      </c>
      <c r="C56" s="46">
        <v>5.07</v>
      </c>
      <c r="D56" s="47">
        <v>5.07</v>
      </c>
      <c r="G56" s="118"/>
    </row>
    <row r="57" spans="1:7" x14ac:dyDescent="0.3">
      <c r="A57" s="33" t="s">
        <v>27</v>
      </c>
      <c r="B57" s="33" t="s">
        <v>33</v>
      </c>
      <c r="C57" s="46">
        <v>5.78</v>
      </c>
      <c r="D57" s="47">
        <v>5.78</v>
      </c>
      <c r="G57" s="118"/>
    </row>
    <row r="58" spans="1:7" ht="16.2" thickBot="1" x14ac:dyDescent="0.35">
      <c r="A58" s="39" t="s">
        <v>27</v>
      </c>
      <c r="B58" s="39" t="s">
        <v>34</v>
      </c>
      <c r="C58" s="48">
        <v>5.54</v>
      </c>
      <c r="D58" s="49">
        <v>5.54</v>
      </c>
      <c r="G58" s="118"/>
    </row>
    <row r="59" spans="1:7" x14ac:dyDescent="0.3">
      <c r="A59" s="5" t="s">
        <v>35</v>
      </c>
      <c r="G59" s="118"/>
    </row>
    <row r="60" spans="1:7" ht="16.2" thickBot="1" x14ac:dyDescent="0.35">
      <c r="A60" s="4" t="s">
        <v>104</v>
      </c>
      <c r="G60" s="118"/>
    </row>
    <row r="61" spans="1:7" ht="16.2" thickBot="1" x14ac:dyDescent="0.35">
      <c r="A61" s="29"/>
      <c r="B61" s="30"/>
      <c r="C61" s="50" t="s">
        <v>25</v>
      </c>
      <c r="D61" s="42" t="s">
        <v>26</v>
      </c>
      <c r="G61" s="119" t="s">
        <v>128</v>
      </c>
    </row>
    <row r="62" spans="1:7" x14ac:dyDescent="0.3">
      <c r="A62" s="43" t="s">
        <v>27</v>
      </c>
      <c r="B62" s="51" t="s">
        <v>28</v>
      </c>
      <c r="C62" s="52">
        <v>375.4</v>
      </c>
      <c r="D62" s="53">
        <v>1593.2</v>
      </c>
      <c r="G62" s="118"/>
    </row>
    <row r="63" spans="1:7" x14ac:dyDescent="0.3">
      <c r="A63" s="33" t="s">
        <v>27</v>
      </c>
      <c r="B63" s="54" t="s">
        <v>29</v>
      </c>
      <c r="C63" s="55">
        <v>244.6</v>
      </c>
      <c r="D63" s="56">
        <v>135.1</v>
      </c>
      <c r="G63" s="118"/>
    </row>
    <row r="64" spans="1:7" x14ac:dyDescent="0.3">
      <c r="A64" s="33" t="s">
        <v>27</v>
      </c>
      <c r="B64" s="54" t="s">
        <v>30</v>
      </c>
      <c r="C64" s="55">
        <v>83.6</v>
      </c>
      <c r="D64" s="56">
        <v>409.9</v>
      </c>
      <c r="G64" s="118"/>
    </row>
    <row r="65" spans="1:7" x14ac:dyDescent="0.3">
      <c r="A65" s="33" t="s">
        <v>27</v>
      </c>
      <c r="B65" s="54" t="s">
        <v>31</v>
      </c>
      <c r="C65" s="55">
        <v>105.1</v>
      </c>
      <c r="D65" s="56">
        <v>268.10000000000002</v>
      </c>
      <c r="G65" s="118"/>
    </row>
    <row r="66" spans="1:7" x14ac:dyDescent="0.3">
      <c r="A66" s="33" t="s">
        <v>27</v>
      </c>
      <c r="B66" s="54" t="s">
        <v>32</v>
      </c>
      <c r="C66" s="55">
        <v>611.9</v>
      </c>
      <c r="D66" s="56">
        <v>681.1</v>
      </c>
      <c r="G66" s="118"/>
    </row>
    <row r="67" spans="1:7" x14ac:dyDescent="0.3">
      <c r="A67" s="33" t="s">
        <v>27</v>
      </c>
      <c r="B67" s="54" t="s">
        <v>33</v>
      </c>
      <c r="C67" s="55">
        <v>439</v>
      </c>
      <c r="D67" s="56">
        <v>19.100000000000001</v>
      </c>
      <c r="G67" s="118"/>
    </row>
    <row r="68" spans="1:7" ht="16.2" thickBot="1" x14ac:dyDescent="0.35">
      <c r="A68" s="39" t="s">
        <v>27</v>
      </c>
      <c r="B68" s="57" t="s">
        <v>34</v>
      </c>
      <c r="C68" s="58">
        <v>98.3</v>
      </c>
      <c r="D68" s="59">
        <v>127.4</v>
      </c>
      <c r="G68" s="118"/>
    </row>
    <row r="69" spans="1:7" x14ac:dyDescent="0.3">
      <c r="A69" s="43" t="s">
        <v>36</v>
      </c>
      <c r="B69" s="51" t="s">
        <v>28</v>
      </c>
      <c r="C69" s="52">
        <v>22.39</v>
      </c>
      <c r="D69" s="53">
        <v>425.41</v>
      </c>
      <c r="G69" s="118"/>
    </row>
    <row r="70" spans="1:7" x14ac:dyDescent="0.3">
      <c r="A70" s="33" t="s">
        <v>36</v>
      </c>
      <c r="B70" s="54" t="s">
        <v>29</v>
      </c>
      <c r="C70" s="55">
        <v>32.07</v>
      </c>
      <c r="D70" s="56">
        <v>609.33000000000004</v>
      </c>
      <c r="G70" s="118"/>
    </row>
    <row r="71" spans="1:7" x14ac:dyDescent="0.3">
      <c r="A71" s="33" t="s">
        <v>36</v>
      </c>
      <c r="B71" s="54" t="s">
        <v>30</v>
      </c>
      <c r="C71" s="55">
        <v>17.055</v>
      </c>
      <c r="D71" s="56">
        <v>324.04500000000002</v>
      </c>
      <c r="G71" s="118"/>
    </row>
    <row r="72" spans="1:7" x14ac:dyDescent="0.3">
      <c r="A72" s="33" t="s">
        <v>36</v>
      </c>
      <c r="B72" s="54" t="s">
        <v>31</v>
      </c>
      <c r="C72" s="55">
        <v>9.7349999999999994</v>
      </c>
      <c r="D72" s="56">
        <v>184.965</v>
      </c>
      <c r="G72" s="118"/>
    </row>
    <row r="73" spans="1:7" x14ac:dyDescent="0.3">
      <c r="A73" s="33" t="s">
        <v>36</v>
      </c>
      <c r="B73" s="54" t="s">
        <v>32</v>
      </c>
      <c r="C73" s="55">
        <v>5.6749999999999998</v>
      </c>
      <c r="D73" s="56">
        <v>107.825</v>
      </c>
      <c r="G73" s="118"/>
    </row>
    <row r="74" spans="1:7" x14ac:dyDescent="0.3">
      <c r="A74" s="33" t="s">
        <v>36</v>
      </c>
      <c r="B74" s="54" t="s">
        <v>33</v>
      </c>
      <c r="C74" s="55">
        <v>1.7949999999999999</v>
      </c>
      <c r="D74" s="56">
        <v>34.104999999999997</v>
      </c>
      <c r="G74" s="118"/>
    </row>
    <row r="75" spans="1:7" ht="16.2" thickBot="1" x14ac:dyDescent="0.35">
      <c r="A75" s="39" t="s">
        <v>36</v>
      </c>
      <c r="B75" s="57" t="s">
        <v>34</v>
      </c>
      <c r="C75" s="58">
        <v>19.05</v>
      </c>
      <c r="D75" s="59">
        <v>361.95</v>
      </c>
      <c r="G75" s="118"/>
    </row>
    <row r="76" spans="1:7" x14ac:dyDescent="0.3">
      <c r="A76" s="43" t="s">
        <v>37</v>
      </c>
      <c r="B76" s="51" t="s">
        <v>28</v>
      </c>
      <c r="C76" s="52">
        <v>39.14</v>
      </c>
      <c r="D76" s="53">
        <v>2.06</v>
      </c>
      <c r="G76" s="118"/>
    </row>
    <row r="77" spans="1:7" x14ac:dyDescent="0.3">
      <c r="A77" s="33" t="s">
        <v>37</v>
      </c>
      <c r="B77" s="54" t="s">
        <v>29</v>
      </c>
      <c r="C77" s="55">
        <v>455.62</v>
      </c>
      <c r="D77" s="56">
        <v>23.98</v>
      </c>
      <c r="G77" s="118"/>
    </row>
    <row r="78" spans="1:7" x14ac:dyDescent="0.3">
      <c r="A78" s="33" t="s">
        <v>37</v>
      </c>
      <c r="B78" s="54" t="s">
        <v>30</v>
      </c>
      <c r="C78" s="55">
        <v>24.035</v>
      </c>
      <c r="D78" s="56">
        <v>1.2649999999999999</v>
      </c>
      <c r="G78" s="118"/>
    </row>
    <row r="79" spans="1:7" x14ac:dyDescent="0.3">
      <c r="A79" s="33" t="s">
        <v>37</v>
      </c>
      <c r="B79" s="54" t="s">
        <v>31</v>
      </c>
      <c r="C79" s="55">
        <v>26.315000000000001</v>
      </c>
      <c r="D79" s="56">
        <v>1.385</v>
      </c>
      <c r="G79" s="118"/>
    </row>
    <row r="80" spans="1:7" x14ac:dyDescent="0.3">
      <c r="A80" s="33" t="s">
        <v>37</v>
      </c>
      <c r="B80" s="54" t="s">
        <v>32</v>
      </c>
      <c r="C80" s="55">
        <v>39.615000000000002</v>
      </c>
      <c r="D80" s="56">
        <v>2.085</v>
      </c>
      <c r="G80" s="118"/>
    </row>
    <row r="81" spans="1:7" x14ac:dyDescent="0.3">
      <c r="A81" s="33" t="s">
        <v>37</v>
      </c>
      <c r="B81" s="54" t="s">
        <v>33</v>
      </c>
      <c r="C81" s="55">
        <v>356.25</v>
      </c>
      <c r="D81" s="56">
        <v>18.75</v>
      </c>
      <c r="G81" s="118"/>
    </row>
    <row r="82" spans="1:7" ht="16.2" thickBot="1" x14ac:dyDescent="0.35">
      <c r="A82" s="39" t="s">
        <v>37</v>
      </c>
      <c r="B82" s="57" t="s">
        <v>34</v>
      </c>
      <c r="C82" s="58">
        <v>112.005</v>
      </c>
      <c r="D82" s="59">
        <v>5.8949999999999996</v>
      </c>
      <c r="G82" s="118"/>
    </row>
    <row r="83" spans="1:7" x14ac:dyDescent="0.3">
      <c r="A83" s="43" t="s">
        <v>38</v>
      </c>
      <c r="B83" s="51" t="s">
        <v>28</v>
      </c>
      <c r="C83" s="52">
        <v>9.016</v>
      </c>
      <c r="D83" s="53">
        <v>0.184</v>
      </c>
      <c r="G83" s="118"/>
    </row>
    <row r="84" spans="1:7" x14ac:dyDescent="0.3">
      <c r="A84" s="33" t="s">
        <v>38</v>
      </c>
      <c r="B84" s="54" t="s">
        <v>29</v>
      </c>
      <c r="C84" s="55">
        <v>47.823999999999998</v>
      </c>
      <c r="D84" s="56">
        <v>0.97599999999999998</v>
      </c>
      <c r="G84" s="118"/>
    </row>
    <row r="85" spans="1:7" x14ac:dyDescent="0.3">
      <c r="A85" s="33" t="s">
        <v>38</v>
      </c>
      <c r="B85" s="54" t="s">
        <v>30</v>
      </c>
      <c r="C85" s="55">
        <v>5.5860000000000003</v>
      </c>
      <c r="D85" s="56">
        <v>0.114</v>
      </c>
      <c r="G85" s="118"/>
    </row>
    <row r="86" spans="1:7" x14ac:dyDescent="0.3">
      <c r="A86" s="33" t="s">
        <v>38</v>
      </c>
      <c r="B86" s="54" t="s">
        <v>31</v>
      </c>
      <c r="C86" s="55">
        <v>6.7619999999999996</v>
      </c>
      <c r="D86" s="56">
        <v>0.13800000000000001</v>
      </c>
      <c r="G86" s="118"/>
    </row>
    <row r="87" spans="1:7" x14ac:dyDescent="0.3">
      <c r="A87" s="33" t="s">
        <v>38</v>
      </c>
      <c r="B87" s="54" t="s">
        <v>32</v>
      </c>
      <c r="C87" s="55">
        <v>5.4880000000000004</v>
      </c>
      <c r="D87" s="56">
        <v>0.112</v>
      </c>
      <c r="G87" s="118"/>
    </row>
    <row r="88" spans="1:7" x14ac:dyDescent="0.3">
      <c r="A88" s="33" t="s">
        <v>38</v>
      </c>
      <c r="B88" s="54" t="s">
        <v>33</v>
      </c>
      <c r="C88" s="55">
        <v>42.238</v>
      </c>
      <c r="D88" s="56">
        <v>0.86199999999999999</v>
      </c>
      <c r="G88" s="118"/>
    </row>
    <row r="89" spans="1:7" ht="16.2" thickBot="1" x14ac:dyDescent="0.35">
      <c r="A89" s="39" t="s">
        <v>38</v>
      </c>
      <c r="B89" s="57" t="s">
        <v>34</v>
      </c>
      <c r="C89" s="58">
        <v>16.366</v>
      </c>
      <c r="D89" s="59">
        <v>0.33400000000000002</v>
      </c>
      <c r="G89" s="118"/>
    </row>
    <row r="90" spans="1:7" x14ac:dyDescent="0.3">
      <c r="A90" s="5" t="s">
        <v>35</v>
      </c>
      <c r="G90" s="118"/>
    </row>
    <row r="91" spans="1:7" ht="16.2" thickBot="1" x14ac:dyDescent="0.35">
      <c r="A91" s="4" t="s">
        <v>90</v>
      </c>
      <c r="G91" s="118"/>
    </row>
    <row r="92" spans="1:7" ht="16.2" thickBot="1" x14ac:dyDescent="0.35">
      <c r="A92" s="29"/>
      <c r="B92" s="30"/>
      <c r="C92" s="50" t="s">
        <v>25</v>
      </c>
      <c r="D92" s="42" t="s">
        <v>26</v>
      </c>
      <c r="G92" s="119" t="s">
        <v>129</v>
      </c>
    </row>
    <row r="93" spans="1:7" x14ac:dyDescent="0.3">
      <c r="A93" s="43" t="s">
        <v>27</v>
      </c>
      <c r="B93" s="43" t="s">
        <v>28</v>
      </c>
      <c r="C93" s="52">
        <v>375.4</v>
      </c>
      <c r="D93" s="53">
        <v>1593.2</v>
      </c>
      <c r="G93" s="118"/>
    </row>
    <row r="94" spans="1:7" x14ac:dyDescent="0.3">
      <c r="A94" s="33" t="s">
        <v>27</v>
      </c>
      <c r="B94" s="33" t="s">
        <v>29</v>
      </c>
      <c r="C94" s="55">
        <v>244.6</v>
      </c>
      <c r="D94" s="56">
        <v>135.1</v>
      </c>
      <c r="G94" s="118"/>
    </row>
    <row r="95" spans="1:7" x14ac:dyDescent="0.3">
      <c r="A95" s="33" t="s">
        <v>27</v>
      </c>
      <c r="B95" s="33" t="s">
        <v>30</v>
      </c>
      <c r="C95" s="55">
        <v>83.6</v>
      </c>
      <c r="D95" s="56">
        <v>409.9</v>
      </c>
      <c r="G95" s="118"/>
    </row>
    <row r="96" spans="1:7" x14ac:dyDescent="0.3">
      <c r="A96" s="33" t="s">
        <v>27</v>
      </c>
      <c r="B96" s="33" t="s">
        <v>31</v>
      </c>
      <c r="C96" s="55">
        <v>105.1</v>
      </c>
      <c r="D96" s="56">
        <v>268.10000000000002</v>
      </c>
      <c r="G96" s="118"/>
    </row>
    <row r="97" spans="1:7" x14ac:dyDescent="0.3">
      <c r="A97" s="33" t="s">
        <v>27</v>
      </c>
      <c r="B97" s="33" t="s">
        <v>32</v>
      </c>
      <c r="C97" s="55">
        <v>611.9</v>
      </c>
      <c r="D97" s="56">
        <v>681.1</v>
      </c>
      <c r="G97" s="118"/>
    </row>
    <row r="98" spans="1:7" x14ac:dyDescent="0.3">
      <c r="A98" s="33" t="s">
        <v>27</v>
      </c>
      <c r="B98" s="33" t="s">
        <v>33</v>
      </c>
      <c r="C98" s="55">
        <v>439</v>
      </c>
      <c r="D98" s="56">
        <v>19.100000000000001</v>
      </c>
      <c r="G98" s="118"/>
    </row>
    <row r="99" spans="1:7" ht="16.2" thickBot="1" x14ac:dyDescent="0.35">
      <c r="A99" s="39" t="s">
        <v>27</v>
      </c>
      <c r="B99" s="39" t="s">
        <v>34</v>
      </c>
      <c r="C99" s="58">
        <v>98.3</v>
      </c>
      <c r="D99" s="59">
        <v>127.4</v>
      </c>
      <c r="G99" s="118"/>
    </row>
    <row r="100" spans="1:7" x14ac:dyDescent="0.3">
      <c r="A100" s="5" t="s">
        <v>35</v>
      </c>
      <c r="G100" s="118"/>
    </row>
    <row r="101" spans="1:7" ht="16.2" thickBot="1" x14ac:dyDescent="0.35">
      <c r="A101" s="4" t="s">
        <v>91</v>
      </c>
      <c r="G101" s="118"/>
    </row>
    <row r="102" spans="1:7" ht="16.2" thickBot="1" x14ac:dyDescent="0.35">
      <c r="A102" s="29"/>
      <c r="B102" s="30"/>
      <c r="C102" s="50" t="s">
        <v>25</v>
      </c>
      <c r="D102" s="42" t="s">
        <v>26</v>
      </c>
      <c r="G102" s="119" t="s">
        <v>130</v>
      </c>
    </row>
    <row r="103" spans="1:7" x14ac:dyDescent="0.3">
      <c r="A103" s="43" t="s">
        <v>36</v>
      </c>
      <c r="B103" s="51" t="s">
        <v>28</v>
      </c>
      <c r="C103" s="52">
        <v>22.39</v>
      </c>
      <c r="D103" s="53">
        <v>425.41</v>
      </c>
      <c r="G103" s="118"/>
    </row>
    <row r="104" spans="1:7" x14ac:dyDescent="0.3">
      <c r="A104" s="33" t="s">
        <v>36</v>
      </c>
      <c r="B104" s="54" t="s">
        <v>29</v>
      </c>
      <c r="C104" s="55">
        <v>32.07</v>
      </c>
      <c r="D104" s="56">
        <v>609.33000000000004</v>
      </c>
      <c r="E104" s="163"/>
      <c r="G104" s="118"/>
    </row>
    <row r="105" spans="1:7" x14ac:dyDescent="0.3">
      <c r="A105" s="33" t="s">
        <v>36</v>
      </c>
      <c r="B105" s="54" t="s">
        <v>30</v>
      </c>
      <c r="C105" s="55">
        <v>17.055</v>
      </c>
      <c r="D105" s="56">
        <v>324.04500000000002</v>
      </c>
      <c r="E105" s="163"/>
      <c r="G105" s="118"/>
    </row>
    <row r="106" spans="1:7" x14ac:dyDescent="0.3">
      <c r="A106" s="33" t="s">
        <v>36</v>
      </c>
      <c r="B106" s="54" t="s">
        <v>31</v>
      </c>
      <c r="C106" s="55">
        <v>9.7349999999999994</v>
      </c>
      <c r="D106" s="56">
        <v>184.965</v>
      </c>
      <c r="E106" s="163"/>
      <c r="G106" s="118"/>
    </row>
    <row r="107" spans="1:7" x14ac:dyDescent="0.3">
      <c r="A107" s="33" t="s">
        <v>36</v>
      </c>
      <c r="B107" s="54" t="s">
        <v>32</v>
      </c>
      <c r="C107" s="55">
        <v>5.6749999999999998</v>
      </c>
      <c r="D107" s="56">
        <v>107.825</v>
      </c>
      <c r="E107" s="163"/>
      <c r="G107" s="118"/>
    </row>
    <row r="108" spans="1:7" x14ac:dyDescent="0.3">
      <c r="A108" s="33" t="s">
        <v>36</v>
      </c>
      <c r="B108" s="54" t="s">
        <v>33</v>
      </c>
      <c r="C108" s="55">
        <v>1.7949999999999999</v>
      </c>
      <c r="D108" s="56">
        <v>34.104999999999997</v>
      </c>
      <c r="E108" s="163"/>
      <c r="G108" s="118"/>
    </row>
    <row r="109" spans="1:7" ht="16.2" thickBot="1" x14ac:dyDescent="0.35">
      <c r="A109" s="39" t="s">
        <v>36</v>
      </c>
      <c r="B109" s="57" t="s">
        <v>34</v>
      </c>
      <c r="C109" s="58">
        <v>19.05</v>
      </c>
      <c r="D109" s="59">
        <v>361.95</v>
      </c>
      <c r="E109" s="163"/>
      <c r="G109" s="118"/>
    </row>
    <row r="110" spans="1:7" x14ac:dyDescent="0.3">
      <c r="A110" s="43" t="s">
        <v>37</v>
      </c>
      <c r="B110" s="51" t="s">
        <v>28</v>
      </c>
      <c r="C110" s="52">
        <v>39.14</v>
      </c>
      <c r="D110" s="53">
        <v>2.06</v>
      </c>
      <c r="E110" s="163"/>
      <c r="G110" s="118"/>
    </row>
    <row r="111" spans="1:7" x14ac:dyDescent="0.3">
      <c r="A111" s="33" t="s">
        <v>37</v>
      </c>
      <c r="B111" s="54" t="s">
        <v>29</v>
      </c>
      <c r="C111" s="55">
        <v>455.62</v>
      </c>
      <c r="D111" s="56">
        <v>23.98</v>
      </c>
      <c r="E111" s="163"/>
      <c r="G111" s="118"/>
    </row>
    <row r="112" spans="1:7" x14ac:dyDescent="0.3">
      <c r="A112" s="33" t="s">
        <v>37</v>
      </c>
      <c r="B112" s="54" t="s">
        <v>30</v>
      </c>
      <c r="C112" s="55">
        <v>24.035</v>
      </c>
      <c r="D112" s="56">
        <v>1.2649999999999999</v>
      </c>
      <c r="E112" s="163"/>
      <c r="G112" s="118"/>
    </row>
    <row r="113" spans="1:7" x14ac:dyDescent="0.3">
      <c r="A113" s="33" t="s">
        <v>37</v>
      </c>
      <c r="B113" s="54" t="s">
        <v>31</v>
      </c>
      <c r="C113" s="55">
        <v>26.315000000000001</v>
      </c>
      <c r="D113" s="56">
        <v>1.385</v>
      </c>
      <c r="E113" s="163"/>
      <c r="G113" s="118"/>
    </row>
    <row r="114" spans="1:7" x14ac:dyDescent="0.3">
      <c r="A114" s="33" t="s">
        <v>37</v>
      </c>
      <c r="B114" s="54" t="s">
        <v>32</v>
      </c>
      <c r="C114" s="55">
        <v>39.615000000000002</v>
      </c>
      <c r="D114" s="56">
        <v>2.085</v>
      </c>
      <c r="E114" s="163"/>
      <c r="G114" s="118"/>
    </row>
    <row r="115" spans="1:7" x14ac:dyDescent="0.3">
      <c r="A115" s="33" t="s">
        <v>37</v>
      </c>
      <c r="B115" s="54" t="s">
        <v>33</v>
      </c>
      <c r="C115" s="55">
        <v>356.25</v>
      </c>
      <c r="D115" s="56">
        <v>18.75</v>
      </c>
      <c r="E115" s="163"/>
      <c r="G115" s="118"/>
    </row>
    <row r="116" spans="1:7" ht="16.2" thickBot="1" x14ac:dyDescent="0.35">
      <c r="A116" s="39" t="s">
        <v>37</v>
      </c>
      <c r="B116" s="57" t="s">
        <v>34</v>
      </c>
      <c r="C116" s="58">
        <v>112.005</v>
      </c>
      <c r="D116" s="59">
        <v>5.8949999999999996</v>
      </c>
      <c r="E116" s="163"/>
      <c r="G116" s="118"/>
    </row>
    <row r="117" spans="1:7" x14ac:dyDescent="0.3">
      <c r="A117" s="43" t="s">
        <v>38</v>
      </c>
      <c r="B117" s="51" t="s">
        <v>28</v>
      </c>
      <c r="C117" s="52">
        <v>9.016</v>
      </c>
      <c r="D117" s="53">
        <v>0.184</v>
      </c>
      <c r="E117" s="163"/>
      <c r="G117" s="118"/>
    </row>
    <row r="118" spans="1:7" x14ac:dyDescent="0.3">
      <c r="A118" s="33" t="s">
        <v>38</v>
      </c>
      <c r="B118" s="54" t="s">
        <v>29</v>
      </c>
      <c r="C118" s="55">
        <v>47.823999999999998</v>
      </c>
      <c r="D118" s="56">
        <v>0.97599999999999998</v>
      </c>
      <c r="E118" s="163"/>
      <c r="G118" s="118"/>
    </row>
    <row r="119" spans="1:7" x14ac:dyDescent="0.3">
      <c r="A119" s="33" t="s">
        <v>38</v>
      </c>
      <c r="B119" s="54" t="s">
        <v>30</v>
      </c>
      <c r="C119" s="55">
        <v>5.5860000000000003</v>
      </c>
      <c r="D119" s="56">
        <v>0.114</v>
      </c>
      <c r="E119" s="163"/>
      <c r="G119" s="118"/>
    </row>
    <row r="120" spans="1:7" x14ac:dyDescent="0.3">
      <c r="A120" s="33" t="s">
        <v>38</v>
      </c>
      <c r="B120" s="54" t="s">
        <v>31</v>
      </c>
      <c r="C120" s="55">
        <v>6.7619999999999996</v>
      </c>
      <c r="D120" s="56">
        <v>0.13800000000000001</v>
      </c>
      <c r="E120" s="163"/>
      <c r="G120" s="118"/>
    </row>
    <row r="121" spans="1:7" x14ac:dyDescent="0.3">
      <c r="A121" s="33" t="s">
        <v>38</v>
      </c>
      <c r="B121" s="54" t="s">
        <v>32</v>
      </c>
      <c r="C121" s="55">
        <v>5.4880000000000004</v>
      </c>
      <c r="D121" s="56">
        <v>0.112</v>
      </c>
      <c r="E121" s="163"/>
      <c r="G121" s="118"/>
    </row>
    <row r="122" spans="1:7" x14ac:dyDescent="0.3">
      <c r="A122" s="33" t="s">
        <v>38</v>
      </c>
      <c r="B122" s="54" t="s">
        <v>33</v>
      </c>
      <c r="C122" s="55">
        <v>42.238</v>
      </c>
      <c r="D122" s="56">
        <v>0.86199999999999999</v>
      </c>
      <c r="E122" s="163"/>
      <c r="G122" s="118"/>
    </row>
    <row r="123" spans="1:7" ht="16.2" thickBot="1" x14ac:dyDescent="0.35">
      <c r="A123" s="39" t="s">
        <v>38</v>
      </c>
      <c r="B123" s="57" t="s">
        <v>34</v>
      </c>
      <c r="C123" s="58">
        <v>16.366</v>
      </c>
      <c r="D123" s="59">
        <v>0.33400000000000002</v>
      </c>
      <c r="E123" s="163"/>
      <c r="G123" s="118"/>
    </row>
    <row r="124" spans="1:7" x14ac:dyDescent="0.3">
      <c r="A124" s="5" t="s">
        <v>35</v>
      </c>
      <c r="G124" s="118"/>
    </row>
    <row r="125" spans="1:7" ht="16.2" thickBot="1" x14ac:dyDescent="0.35">
      <c r="A125" s="4" t="s">
        <v>92</v>
      </c>
      <c r="G125" s="118"/>
    </row>
    <row r="126" spans="1:7" ht="16.2" thickBot="1" x14ac:dyDescent="0.35">
      <c r="A126" s="29"/>
      <c r="B126" s="30"/>
      <c r="C126" s="50" t="s">
        <v>25</v>
      </c>
      <c r="D126" s="42" t="s">
        <v>26</v>
      </c>
      <c r="G126" s="119" t="s">
        <v>131</v>
      </c>
    </row>
    <row r="127" spans="1:7" x14ac:dyDescent="0.3">
      <c r="A127" s="43" t="s">
        <v>27</v>
      </c>
      <c r="B127" s="51" t="s">
        <v>28</v>
      </c>
      <c r="C127" s="52">
        <v>3.024</v>
      </c>
      <c r="D127" s="53">
        <v>6.133</v>
      </c>
      <c r="G127" s="118"/>
    </row>
    <row r="128" spans="1:7" x14ac:dyDescent="0.3">
      <c r="A128" s="33" t="s">
        <v>27</v>
      </c>
      <c r="B128" s="54" t="s">
        <v>29</v>
      </c>
      <c r="C128" s="55">
        <v>2.1269999999999998</v>
      </c>
      <c r="D128" s="56">
        <v>1.446</v>
      </c>
      <c r="G128" s="118"/>
    </row>
    <row r="129" spans="1:7" x14ac:dyDescent="0.3">
      <c r="A129" s="33" t="s">
        <v>27</v>
      </c>
      <c r="B129" s="54" t="s">
        <v>30</v>
      </c>
      <c r="C129" s="55">
        <v>1.5980000000000001</v>
      </c>
      <c r="D129" s="56">
        <v>1.6060000000000001</v>
      </c>
      <c r="G129" s="118"/>
    </row>
    <row r="130" spans="1:7" x14ac:dyDescent="0.3">
      <c r="A130" s="33" t="s">
        <v>27</v>
      </c>
      <c r="B130" s="54" t="s">
        <v>31</v>
      </c>
      <c r="C130" s="55">
        <v>0.85</v>
      </c>
      <c r="D130" s="56">
        <v>1.6759999999999999</v>
      </c>
      <c r="G130" s="118"/>
    </row>
    <row r="131" spans="1:7" x14ac:dyDescent="0.3">
      <c r="A131" s="33" t="s">
        <v>27</v>
      </c>
      <c r="B131" s="54" t="s">
        <v>32</v>
      </c>
      <c r="C131" s="55">
        <v>1.218</v>
      </c>
      <c r="D131" s="56">
        <v>1.7270000000000001</v>
      </c>
      <c r="G131" s="118"/>
    </row>
    <row r="132" spans="1:7" x14ac:dyDescent="0.3">
      <c r="A132" s="33" t="s">
        <v>27</v>
      </c>
      <c r="B132" s="54" t="s">
        <v>33</v>
      </c>
      <c r="C132" s="55">
        <v>0.48599999999999999</v>
      </c>
      <c r="D132" s="56">
        <v>0.94699999999999995</v>
      </c>
      <c r="G132" s="118"/>
    </row>
    <row r="133" spans="1:7" ht="16.2" thickBot="1" x14ac:dyDescent="0.35">
      <c r="A133" s="39" t="s">
        <v>27</v>
      </c>
      <c r="B133" s="57" t="s">
        <v>34</v>
      </c>
      <c r="C133" s="58">
        <v>1.0269999999999999</v>
      </c>
      <c r="D133" s="59">
        <v>1.1830000000000001</v>
      </c>
      <c r="G133" s="118"/>
    </row>
    <row r="134" spans="1:7" x14ac:dyDescent="0.3">
      <c r="A134" s="43" t="s">
        <v>36</v>
      </c>
      <c r="B134" s="51" t="s">
        <v>28</v>
      </c>
      <c r="C134" s="52">
        <v>2.8690000000000002</v>
      </c>
      <c r="D134" s="53">
        <v>11.4816</v>
      </c>
      <c r="G134" s="118"/>
    </row>
    <row r="135" spans="1:7" x14ac:dyDescent="0.3">
      <c r="A135" s="33" t="s">
        <v>36</v>
      </c>
      <c r="B135" s="54" t="s">
        <v>29</v>
      </c>
      <c r="C135" s="55">
        <v>1.5023</v>
      </c>
      <c r="D135" s="56">
        <v>13.849399999999999</v>
      </c>
      <c r="G135" s="118"/>
    </row>
    <row r="136" spans="1:7" x14ac:dyDescent="0.3">
      <c r="A136" s="33" t="s">
        <v>36</v>
      </c>
      <c r="B136" s="54" t="s">
        <v>30</v>
      </c>
      <c r="C136" s="55">
        <v>2.0865</v>
      </c>
      <c r="D136" s="56">
        <v>8.9860000000000007</v>
      </c>
      <c r="G136" s="118"/>
    </row>
    <row r="137" spans="1:7" x14ac:dyDescent="0.3">
      <c r="A137" s="33" t="s">
        <v>36</v>
      </c>
      <c r="B137" s="54" t="s">
        <v>31</v>
      </c>
      <c r="C137" s="55">
        <v>0.72550000000000003</v>
      </c>
      <c r="D137" s="56">
        <v>7.6712999999999996</v>
      </c>
      <c r="G137" s="118"/>
    </row>
    <row r="138" spans="1:7" x14ac:dyDescent="0.3">
      <c r="A138" s="33" t="s">
        <v>36</v>
      </c>
      <c r="B138" s="54" t="s">
        <v>32</v>
      </c>
      <c r="C138" s="55">
        <v>1.1112</v>
      </c>
      <c r="D138" s="56">
        <v>8.5449999999999999</v>
      </c>
      <c r="G138" s="118"/>
    </row>
    <row r="139" spans="1:7" x14ac:dyDescent="0.3">
      <c r="A139" s="33" t="s">
        <v>36</v>
      </c>
      <c r="B139" s="54" t="s">
        <v>33</v>
      </c>
      <c r="C139" s="55">
        <v>0.3453</v>
      </c>
      <c r="D139" s="56">
        <v>10.830399999999999</v>
      </c>
      <c r="G139" s="118"/>
    </row>
    <row r="140" spans="1:7" ht="16.2" thickBot="1" x14ac:dyDescent="0.35">
      <c r="A140" s="39" t="s">
        <v>36</v>
      </c>
      <c r="B140" s="57" t="s">
        <v>34</v>
      </c>
      <c r="C140" s="58">
        <v>1.3556999999999999</v>
      </c>
      <c r="D140" s="59">
        <v>8.5303000000000004</v>
      </c>
      <c r="G140" s="118"/>
    </row>
    <row r="141" spans="1:7" x14ac:dyDescent="0.3">
      <c r="A141" s="43" t="s">
        <v>37</v>
      </c>
      <c r="B141" s="51" t="s">
        <v>28</v>
      </c>
      <c r="C141" s="52">
        <v>16.128</v>
      </c>
      <c r="D141" s="53">
        <v>0.17879999999999999</v>
      </c>
      <c r="G141" s="118"/>
    </row>
    <row r="142" spans="1:7" x14ac:dyDescent="0.3">
      <c r="A142" s="33" t="s">
        <v>37</v>
      </c>
      <c r="B142" s="54" t="s">
        <v>29</v>
      </c>
      <c r="C142" s="55">
        <v>14.061500000000001</v>
      </c>
      <c r="D142" s="56">
        <v>0.35909999999999997</v>
      </c>
      <c r="G142" s="118"/>
    </row>
    <row r="143" spans="1:7" x14ac:dyDescent="0.3">
      <c r="A143" s="33" t="s">
        <v>37</v>
      </c>
      <c r="B143" s="54" t="s">
        <v>30</v>
      </c>
      <c r="C143" s="55">
        <v>10.769600000000001</v>
      </c>
      <c r="D143" s="56">
        <v>0.1285</v>
      </c>
      <c r="G143" s="118"/>
    </row>
    <row r="144" spans="1:7" x14ac:dyDescent="0.3">
      <c r="A144" s="33" t="s">
        <v>37</v>
      </c>
      <c r="B144" s="54" t="s">
        <v>31</v>
      </c>
      <c r="C144" s="55">
        <v>7.8573000000000004</v>
      </c>
      <c r="D144" s="56">
        <v>0.2301</v>
      </c>
      <c r="G144" s="118"/>
    </row>
    <row r="145" spans="1:7" x14ac:dyDescent="0.3">
      <c r="A145" s="33" t="s">
        <v>37</v>
      </c>
      <c r="B145" s="54" t="s">
        <v>32</v>
      </c>
      <c r="C145" s="55">
        <v>9.3947000000000003</v>
      </c>
      <c r="D145" s="56">
        <v>0.2001</v>
      </c>
      <c r="G145" s="118"/>
    </row>
    <row r="146" spans="1:7" x14ac:dyDescent="0.3">
      <c r="A146" s="33" t="s">
        <v>37</v>
      </c>
      <c r="B146" s="54" t="s">
        <v>33</v>
      </c>
      <c r="C146" s="55">
        <v>9.8414999999999999</v>
      </c>
      <c r="D146" s="56">
        <v>0.85519999999999996</v>
      </c>
      <c r="G146" s="118"/>
    </row>
    <row r="147" spans="1:7" ht="16.2" thickBot="1" x14ac:dyDescent="0.35">
      <c r="A147" s="39" t="s">
        <v>37</v>
      </c>
      <c r="B147" s="57" t="s">
        <v>34</v>
      </c>
      <c r="C147" s="58">
        <v>10.702500000000001</v>
      </c>
      <c r="D147" s="59">
        <v>0.1865</v>
      </c>
      <c r="G147" s="118"/>
    </row>
    <row r="148" spans="1:7" x14ac:dyDescent="0.3">
      <c r="A148" s="43" t="s">
        <v>38</v>
      </c>
      <c r="B148" s="51" t="s">
        <v>28</v>
      </c>
      <c r="C148" s="52">
        <v>1.3897999999999999</v>
      </c>
      <c r="D148" s="53">
        <v>6.0000000000000001E-3</v>
      </c>
      <c r="G148" s="118"/>
    </row>
    <row r="149" spans="1:7" x14ac:dyDescent="0.3">
      <c r="A149" s="33" t="s">
        <v>38</v>
      </c>
      <c r="B149" s="54" t="s">
        <v>29</v>
      </c>
      <c r="C149" s="55">
        <v>2.2113</v>
      </c>
      <c r="D149" s="56">
        <v>2.1899999999999999E-2</v>
      </c>
      <c r="G149" s="118"/>
    </row>
    <row r="150" spans="1:7" x14ac:dyDescent="0.3">
      <c r="A150" s="33" t="s">
        <v>38</v>
      </c>
      <c r="B150" s="54" t="s">
        <v>30</v>
      </c>
      <c r="C150" s="55">
        <v>0.92079999999999995</v>
      </c>
      <c r="D150" s="56">
        <v>4.3E-3</v>
      </c>
      <c r="G150" s="118"/>
    </row>
    <row r="151" spans="1:7" x14ac:dyDescent="0.3">
      <c r="A151" s="33" t="s">
        <v>38</v>
      </c>
      <c r="B151" s="54" t="s">
        <v>31</v>
      </c>
      <c r="C151" s="55">
        <v>0.64990000000000003</v>
      </c>
      <c r="D151" s="56">
        <v>7.4000000000000003E-3</v>
      </c>
      <c r="G151" s="118"/>
    </row>
    <row r="152" spans="1:7" x14ac:dyDescent="0.3">
      <c r="A152" s="33" t="s">
        <v>38</v>
      </c>
      <c r="B152" s="54" t="s">
        <v>32</v>
      </c>
      <c r="C152" s="55">
        <v>1.0771999999999999</v>
      </c>
      <c r="D152" s="56">
        <v>8.8999999999999999E-3</v>
      </c>
      <c r="G152" s="118"/>
    </row>
    <row r="153" spans="1:7" x14ac:dyDescent="0.3">
      <c r="A153" s="33" t="s">
        <v>38</v>
      </c>
      <c r="B153" s="54" t="s">
        <v>33</v>
      </c>
      <c r="C153" s="55">
        <v>1.3184</v>
      </c>
      <c r="D153" s="56">
        <v>4.4400000000000002E-2</v>
      </c>
      <c r="G153" s="118"/>
    </row>
    <row r="154" spans="1:7" ht="16.2" thickBot="1" x14ac:dyDescent="0.35">
      <c r="A154" s="39" t="s">
        <v>38</v>
      </c>
      <c r="B154" s="57" t="s">
        <v>34</v>
      </c>
      <c r="C154" s="58">
        <v>1.1758</v>
      </c>
      <c r="D154" s="59">
        <v>7.9000000000000008E-3</v>
      </c>
      <c r="G154" s="118"/>
    </row>
    <row r="155" spans="1:7" x14ac:dyDescent="0.3">
      <c r="A155" s="5" t="s">
        <v>35</v>
      </c>
      <c r="G155" s="118"/>
    </row>
    <row r="156" spans="1:7" ht="16.2" thickBot="1" x14ac:dyDescent="0.35">
      <c r="A156" s="4" t="s">
        <v>93</v>
      </c>
      <c r="G156" s="118"/>
    </row>
    <row r="157" spans="1:7" ht="16.2" thickBot="1" x14ac:dyDescent="0.35">
      <c r="A157" s="29"/>
      <c r="B157" s="30"/>
      <c r="C157" s="50" t="s">
        <v>25</v>
      </c>
      <c r="D157" s="42" t="s">
        <v>26</v>
      </c>
      <c r="G157" s="119" t="s">
        <v>132</v>
      </c>
    </row>
    <row r="158" spans="1:7" x14ac:dyDescent="0.3">
      <c r="A158" s="43" t="s">
        <v>27</v>
      </c>
      <c r="B158" s="43" t="s">
        <v>28</v>
      </c>
      <c r="C158" s="60">
        <v>6988</v>
      </c>
      <c r="D158" s="61">
        <v>6988</v>
      </c>
      <c r="G158" s="118"/>
    </row>
    <row r="159" spans="1:7" x14ac:dyDescent="0.3">
      <c r="A159" s="33" t="s">
        <v>27</v>
      </c>
      <c r="B159" s="33" t="s">
        <v>29</v>
      </c>
      <c r="C159" s="62">
        <v>8690</v>
      </c>
      <c r="D159" s="63">
        <v>8690</v>
      </c>
      <c r="G159" s="118"/>
    </row>
    <row r="160" spans="1:7" x14ac:dyDescent="0.3">
      <c r="A160" s="33" t="s">
        <v>27</v>
      </c>
      <c r="B160" s="33" t="s">
        <v>30</v>
      </c>
      <c r="C160" s="62">
        <v>7770</v>
      </c>
      <c r="D160" s="63">
        <v>7770</v>
      </c>
      <c r="G160" s="118"/>
    </row>
    <row r="161" spans="1:7" x14ac:dyDescent="0.3">
      <c r="A161" s="33" t="s">
        <v>27</v>
      </c>
      <c r="B161" s="33" t="s">
        <v>31</v>
      </c>
      <c r="C161" s="62">
        <v>7895</v>
      </c>
      <c r="D161" s="63">
        <v>7895</v>
      </c>
      <c r="G161" s="118"/>
    </row>
    <row r="162" spans="1:7" x14ac:dyDescent="0.3">
      <c r="A162" s="33" t="s">
        <v>27</v>
      </c>
      <c r="B162" s="33" t="s">
        <v>32</v>
      </c>
      <c r="C162" s="62">
        <v>6938</v>
      </c>
      <c r="D162" s="63">
        <v>6938</v>
      </c>
      <c r="G162" s="118"/>
    </row>
    <row r="163" spans="1:7" x14ac:dyDescent="0.3">
      <c r="A163" s="33" t="s">
        <v>27</v>
      </c>
      <c r="B163" s="33" t="s">
        <v>33</v>
      </c>
      <c r="C163" s="62">
        <v>7830</v>
      </c>
      <c r="D163" s="63">
        <v>7830</v>
      </c>
      <c r="G163" s="118"/>
    </row>
    <row r="164" spans="1:7" ht="16.2" thickBot="1" x14ac:dyDescent="0.35">
      <c r="A164" s="39" t="s">
        <v>27</v>
      </c>
      <c r="B164" s="39" t="s">
        <v>34</v>
      </c>
      <c r="C164" s="64">
        <v>8613</v>
      </c>
      <c r="D164" s="65">
        <v>8613</v>
      </c>
      <c r="G164" s="118"/>
    </row>
    <row r="165" spans="1:7" x14ac:dyDescent="0.3">
      <c r="A165" s="43" t="s">
        <v>36</v>
      </c>
      <c r="B165" s="43" t="s">
        <v>28</v>
      </c>
      <c r="C165" s="60">
        <v>120059</v>
      </c>
      <c r="D165" s="61">
        <v>120059</v>
      </c>
      <c r="G165" s="118"/>
    </row>
    <row r="166" spans="1:7" x14ac:dyDescent="0.3">
      <c r="A166" s="33" t="s">
        <v>36</v>
      </c>
      <c r="B166" s="33" t="s">
        <v>29</v>
      </c>
      <c r="C166" s="62">
        <v>116234</v>
      </c>
      <c r="D166" s="63">
        <v>116234</v>
      </c>
      <c r="G166" s="118"/>
    </row>
    <row r="167" spans="1:7" x14ac:dyDescent="0.3">
      <c r="A167" s="33" t="s">
        <v>36</v>
      </c>
      <c r="B167" s="33" t="s">
        <v>30</v>
      </c>
      <c r="C167" s="62">
        <v>111202</v>
      </c>
      <c r="D167" s="63">
        <v>111202</v>
      </c>
      <c r="G167" s="118"/>
    </row>
    <row r="168" spans="1:7" x14ac:dyDescent="0.3">
      <c r="A168" s="33" t="s">
        <v>36</v>
      </c>
      <c r="B168" s="33" t="s">
        <v>31</v>
      </c>
      <c r="C168" s="62">
        <v>115587</v>
      </c>
      <c r="D168" s="63">
        <v>115587</v>
      </c>
      <c r="G168" s="118"/>
    </row>
    <row r="169" spans="1:7" x14ac:dyDescent="0.3">
      <c r="A169" s="33" t="s">
        <v>36</v>
      </c>
      <c r="B169" s="33" t="s">
        <v>32</v>
      </c>
      <c r="C169" s="62">
        <v>117182</v>
      </c>
      <c r="D169" s="63">
        <v>117182</v>
      </c>
      <c r="G169" s="118"/>
    </row>
    <row r="170" spans="1:7" x14ac:dyDescent="0.3">
      <c r="A170" s="33" t="s">
        <v>36</v>
      </c>
      <c r="B170" s="33" t="s">
        <v>33</v>
      </c>
      <c r="C170" s="62">
        <v>127742</v>
      </c>
      <c r="D170" s="63">
        <v>127742</v>
      </c>
      <c r="G170" s="118"/>
    </row>
    <row r="171" spans="1:7" ht="16.2" thickBot="1" x14ac:dyDescent="0.35">
      <c r="A171" s="39" t="s">
        <v>36</v>
      </c>
      <c r="B171" s="39" t="s">
        <v>34</v>
      </c>
      <c r="C171" s="64">
        <v>124848</v>
      </c>
      <c r="D171" s="65">
        <v>124848</v>
      </c>
      <c r="G171" s="118"/>
    </row>
    <row r="172" spans="1:7" x14ac:dyDescent="0.3">
      <c r="A172" s="43" t="s">
        <v>37</v>
      </c>
      <c r="B172" s="43" t="s">
        <v>28</v>
      </c>
      <c r="C172" s="60">
        <v>120059</v>
      </c>
      <c r="D172" s="61">
        <v>120059</v>
      </c>
      <c r="G172" s="118"/>
    </row>
    <row r="173" spans="1:7" x14ac:dyDescent="0.3">
      <c r="A173" s="33" t="s">
        <v>37</v>
      </c>
      <c r="B173" s="33" t="s">
        <v>29</v>
      </c>
      <c r="C173" s="62">
        <v>116234</v>
      </c>
      <c r="D173" s="63">
        <v>116234</v>
      </c>
      <c r="G173" s="118"/>
    </row>
    <row r="174" spans="1:7" x14ac:dyDescent="0.3">
      <c r="A174" s="33" t="s">
        <v>37</v>
      </c>
      <c r="B174" s="33" t="s">
        <v>30</v>
      </c>
      <c r="C174" s="62">
        <v>111202</v>
      </c>
      <c r="D174" s="63">
        <v>111202</v>
      </c>
      <c r="G174" s="118"/>
    </row>
    <row r="175" spans="1:7" x14ac:dyDescent="0.3">
      <c r="A175" s="33" t="s">
        <v>37</v>
      </c>
      <c r="B175" s="33" t="s">
        <v>31</v>
      </c>
      <c r="C175" s="62">
        <v>115587</v>
      </c>
      <c r="D175" s="63">
        <v>115587</v>
      </c>
      <c r="G175" s="118"/>
    </row>
    <row r="176" spans="1:7" x14ac:dyDescent="0.3">
      <c r="A176" s="33" t="s">
        <v>37</v>
      </c>
      <c r="B176" s="33" t="s">
        <v>32</v>
      </c>
      <c r="C176" s="62">
        <v>117182</v>
      </c>
      <c r="D176" s="63">
        <v>117182</v>
      </c>
      <c r="G176" s="118"/>
    </row>
    <row r="177" spans="1:7" x14ac:dyDescent="0.3">
      <c r="A177" s="33" t="s">
        <v>37</v>
      </c>
      <c r="B177" s="33" t="s">
        <v>33</v>
      </c>
      <c r="C177" s="62">
        <v>127742</v>
      </c>
      <c r="D177" s="63">
        <v>127742</v>
      </c>
      <c r="G177" s="118"/>
    </row>
    <row r="178" spans="1:7" ht="16.2" thickBot="1" x14ac:dyDescent="0.35">
      <c r="A178" s="39" t="s">
        <v>37</v>
      </c>
      <c r="B178" s="39" t="s">
        <v>34</v>
      </c>
      <c r="C178" s="64">
        <v>124848</v>
      </c>
      <c r="D178" s="65">
        <v>124848</v>
      </c>
      <c r="G178" s="118"/>
    </row>
    <row r="179" spans="1:7" x14ac:dyDescent="0.3">
      <c r="A179" s="43" t="s">
        <v>38</v>
      </c>
      <c r="B179" s="43" t="s">
        <v>28</v>
      </c>
      <c r="C179" s="60">
        <v>126062</v>
      </c>
      <c r="D179" s="61">
        <v>126062</v>
      </c>
      <c r="G179" s="118"/>
    </row>
    <row r="180" spans="1:7" x14ac:dyDescent="0.3">
      <c r="A180" s="33" t="s">
        <v>38</v>
      </c>
      <c r="B180" s="33" t="s">
        <v>29</v>
      </c>
      <c r="C180" s="62">
        <v>122046</v>
      </c>
      <c r="D180" s="63">
        <v>122046</v>
      </c>
      <c r="G180" s="118"/>
    </row>
    <row r="181" spans="1:7" x14ac:dyDescent="0.3">
      <c r="A181" s="33" t="s">
        <v>38</v>
      </c>
      <c r="B181" s="33" t="s">
        <v>30</v>
      </c>
      <c r="C181" s="62">
        <v>116762</v>
      </c>
      <c r="D181" s="63">
        <v>116762</v>
      </c>
      <c r="G181" s="118"/>
    </row>
    <row r="182" spans="1:7" x14ac:dyDescent="0.3">
      <c r="A182" s="33" t="s">
        <v>38</v>
      </c>
      <c r="B182" s="33" t="s">
        <v>31</v>
      </c>
      <c r="C182" s="62">
        <v>121366</v>
      </c>
      <c r="D182" s="63">
        <v>121366</v>
      </c>
      <c r="G182" s="118"/>
    </row>
    <row r="183" spans="1:7" x14ac:dyDescent="0.3">
      <c r="A183" s="33" t="s">
        <v>38</v>
      </c>
      <c r="B183" s="33" t="s">
        <v>32</v>
      </c>
      <c r="C183" s="62">
        <v>123041</v>
      </c>
      <c r="D183" s="63">
        <v>123041</v>
      </c>
      <c r="G183" s="118"/>
    </row>
    <row r="184" spans="1:7" x14ac:dyDescent="0.3">
      <c r="A184" s="33" t="s">
        <v>38</v>
      </c>
      <c r="B184" s="33" t="s">
        <v>33</v>
      </c>
      <c r="C184" s="62">
        <v>134129</v>
      </c>
      <c r="D184" s="63">
        <v>134129</v>
      </c>
      <c r="G184" s="118"/>
    </row>
    <row r="185" spans="1:7" ht="16.2" thickBot="1" x14ac:dyDescent="0.35">
      <c r="A185" s="39" t="s">
        <v>38</v>
      </c>
      <c r="B185" s="39" t="s">
        <v>34</v>
      </c>
      <c r="C185" s="64">
        <v>131090</v>
      </c>
      <c r="D185" s="65">
        <v>131090</v>
      </c>
      <c r="G185" s="118"/>
    </row>
    <row r="186" spans="1:7" x14ac:dyDescent="0.3">
      <c r="A186" s="5" t="s">
        <v>35</v>
      </c>
      <c r="G186" s="118"/>
    </row>
    <row r="187" spans="1:7" ht="16.2" thickBot="1" x14ac:dyDescent="0.35">
      <c r="A187" s="4" t="s">
        <v>94</v>
      </c>
      <c r="G187" s="118"/>
    </row>
    <row r="188" spans="1:7" ht="16.2" thickBot="1" x14ac:dyDescent="0.35">
      <c r="A188" s="29"/>
      <c r="B188" s="30"/>
      <c r="C188" s="50" t="s">
        <v>25</v>
      </c>
      <c r="D188" s="42" t="s">
        <v>26</v>
      </c>
      <c r="G188" s="119" t="s">
        <v>133</v>
      </c>
    </row>
    <row r="189" spans="1:7" x14ac:dyDescent="0.3">
      <c r="A189" s="43" t="s">
        <v>27</v>
      </c>
      <c r="B189" s="51" t="s">
        <v>28</v>
      </c>
      <c r="C189" s="60">
        <v>7750</v>
      </c>
      <c r="D189" s="61">
        <v>7750</v>
      </c>
      <c r="G189" s="118"/>
    </row>
    <row r="190" spans="1:7" x14ac:dyDescent="0.3">
      <c r="A190" s="33" t="s">
        <v>27</v>
      </c>
      <c r="B190" s="54" t="s">
        <v>29</v>
      </c>
      <c r="C190" s="62">
        <v>8175</v>
      </c>
      <c r="D190" s="63">
        <v>8175</v>
      </c>
      <c r="G190" s="118"/>
    </row>
    <row r="191" spans="1:7" x14ac:dyDescent="0.3">
      <c r="A191" s="33" t="s">
        <v>27</v>
      </c>
      <c r="B191" s="54" t="s">
        <v>30</v>
      </c>
      <c r="C191" s="62">
        <v>8583</v>
      </c>
      <c r="D191" s="63">
        <v>8583</v>
      </c>
      <c r="G191" s="118"/>
    </row>
    <row r="192" spans="1:7" x14ac:dyDescent="0.3">
      <c r="A192" s="33" t="s">
        <v>27</v>
      </c>
      <c r="B192" s="54" t="s">
        <v>31</v>
      </c>
      <c r="C192" s="62">
        <v>8093</v>
      </c>
      <c r="D192" s="63">
        <v>7608</v>
      </c>
      <c r="G192" s="118"/>
    </row>
    <row r="193" spans="1:7" x14ac:dyDescent="0.3">
      <c r="A193" s="33" t="s">
        <v>27</v>
      </c>
      <c r="B193" s="54" t="s">
        <v>32</v>
      </c>
      <c r="C193" s="62">
        <v>7574</v>
      </c>
      <c r="D193" s="63">
        <v>7089</v>
      </c>
      <c r="G193" s="118"/>
    </row>
    <row r="194" spans="1:7" x14ac:dyDescent="0.3">
      <c r="A194" s="33" t="s">
        <v>27</v>
      </c>
      <c r="B194" s="54" t="s">
        <v>33</v>
      </c>
      <c r="C194" s="62">
        <v>8067</v>
      </c>
      <c r="D194" s="63">
        <v>7582</v>
      </c>
      <c r="G194" s="118"/>
    </row>
    <row r="195" spans="1:7" ht="16.2" thickBot="1" x14ac:dyDescent="0.35">
      <c r="A195" s="39" t="s">
        <v>27</v>
      </c>
      <c r="B195" s="57" t="s">
        <v>34</v>
      </c>
      <c r="C195" s="64">
        <v>8067</v>
      </c>
      <c r="D195" s="65">
        <v>8067</v>
      </c>
      <c r="G195" s="118"/>
    </row>
    <row r="196" spans="1:7" x14ac:dyDescent="0.3">
      <c r="A196" s="43" t="s">
        <v>36</v>
      </c>
      <c r="B196" s="51" t="s">
        <v>28</v>
      </c>
      <c r="C196" s="60">
        <v>97513</v>
      </c>
      <c r="D196" s="61">
        <v>99394</v>
      </c>
      <c r="G196" s="118"/>
    </row>
    <row r="197" spans="1:7" x14ac:dyDescent="0.3">
      <c r="A197" s="33" t="s">
        <v>36</v>
      </c>
      <c r="B197" s="54" t="s">
        <v>29</v>
      </c>
      <c r="C197" s="62">
        <v>98789</v>
      </c>
      <c r="D197" s="63">
        <v>100671</v>
      </c>
      <c r="G197" s="118"/>
    </row>
    <row r="198" spans="1:7" x14ac:dyDescent="0.3">
      <c r="A198" s="33" t="s">
        <v>36</v>
      </c>
      <c r="B198" s="54" t="s">
        <v>30</v>
      </c>
      <c r="C198" s="62">
        <v>97446</v>
      </c>
      <c r="D198" s="63">
        <v>99328</v>
      </c>
      <c r="G198" s="118"/>
    </row>
    <row r="199" spans="1:7" x14ac:dyDescent="0.3">
      <c r="A199" s="33" t="s">
        <v>36</v>
      </c>
      <c r="B199" s="54" t="s">
        <v>31</v>
      </c>
      <c r="C199" s="62">
        <v>98207</v>
      </c>
      <c r="D199" s="63">
        <v>100089</v>
      </c>
      <c r="G199" s="118"/>
    </row>
    <row r="200" spans="1:7" x14ac:dyDescent="0.3">
      <c r="A200" s="33" t="s">
        <v>36</v>
      </c>
      <c r="B200" s="54" t="s">
        <v>32</v>
      </c>
      <c r="C200" s="62">
        <v>99764</v>
      </c>
      <c r="D200" s="63">
        <v>101646</v>
      </c>
      <c r="G200" s="118"/>
    </row>
    <row r="201" spans="1:7" x14ac:dyDescent="0.3">
      <c r="A201" s="33" t="s">
        <v>36</v>
      </c>
      <c r="B201" s="54" t="s">
        <v>33</v>
      </c>
      <c r="C201" s="62">
        <v>100856</v>
      </c>
      <c r="D201" s="63">
        <v>102737</v>
      </c>
      <c r="G201" s="118"/>
    </row>
    <row r="202" spans="1:7" ht="16.2" thickBot="1" x14ac:dyDescent="0.35">
      <c r="A202" s="39" t="s">
        <v>36</v>
      </c>
      <c r="B202" s="57" t="s">
        <v>34</v>
      </c>
      <c r="C202" s="64">
        <v>100883</v>
      </c>
      <c r="D202" s="65">
        <v>102765</v>
      </c>
      <c r="G202" s="118"/>
    </row>
    <row r="203" spans="1:7" x14ac:dyDescent="0.3">
      <c r="A203" s="43" t="s">
        <v>37</v>
      </c>
      <c r="B203" s="51" t="s">
        <v>28</v>
      </c>
      <c r="C203" s="60">
        <v>117501</v>
      </c>
      <c r="D203" s="61">
        <v>118241</v>
      </c>
      <c r="G203" s="118"/>
    </row>
    <row r="204" spans="1:7" x14ac:dyDescent="0.3">
      <c r="A204" s="33" t="s">
        <v>37</v>
      </c>
      <c r="B204" s="54" t="s">
        <v>29</v>
      </c>
      <c r="C204" s="62">
        <v>116225</v>
      </c>
      <c r="D204" s="63">
        <v>116964</v>
      </c>
      <c r="G204" s="118"/>
    </row>
    <row r="205" spans="1:7" x14ac:dyDescent="0.3">
      <c r="A205" s="33" t="s">
        <v>37</v>
      </c>
      <c r="B205" s="54" t="s">
        <v>30</v>
      </c>
      <c r="C205" s="62">
        <v>117568</v>
      </c>
      <c r="D205" s="63">
        <v>118307</v>
      </c>
      <c r="G205" s="118"/>
    </row>
    <row r="206" spans="1:7" x14ac:dyDescent="0.3">
      <c r="A206" s="33" t="s">
        <v>37</v>
      </c>
      <c r="B206" s="54" t="s">
        <v>31</v>
      </c>
      <c r="C206" s="62">
        <v>120546</v>
      </c>
      <c r="D206" s="63">
        <v>121286</v>
      </c>
      <c r="G206" s="118"/>
    </row>
    <row r="207" spans="1:7" x14ac:dyDescent="0.3">
      <c r="A207" s="33" t="s">
        <v>37</v>
      </c>
      <c r="B207" s="54" t="s">
        <v>32</v>
      </c>
      <c r="C207" s="62">
        <v>119377</v>
      </c>
      <c r="D207" s="63">
        <v>120117</v>
      </c>
      <c r="G207" s="118"/>
    </row>
    <row r="208" spans="1:7" x14ac:dyDescent="0.3">
      <c r="A208" s="33" t="s">
        <v>37</v>
      </c>
      <c r="B208" s="54" t="s">
        <v>33</v>
      </c>
      <c r="C208" s="62">
        <v>117897</v>
      </c>
      <c r="D208" s="63">
        <v>118637</v>
      </c>
      <c r="G208" s="118"/>
    </row>
    <row r="209" spans="1:7" ht="16.2" thickBot="1" x14ac:dyDescent="0.35">
      <c r="A209" s="39" t="s">
        <v>37</v>
      </c>
      <c r="B209" s="57" t="s">
        <v>34</v>
      </c>
      <c r="C209" s="64">
        <v>118319</v>
      </c>
      <c r="D209" s="65">
        <v>119059</v>
      </c>
      <c r="G209" s="118"/>
    </row>
    <row r="210" spans="1:7" x14ac:dyDescent="0.3">
      <c r="A210" s="43" t="s">
        <v>38</v>
      </c>
      <c r="B210" s="51" t="s">
        <v>28</v>
      </c>
      <c r="C210" s="60">
        <v>111509</v>
      </c>
      <c r="D210" s="61">
        <v>113896</v>
      </c>
      <c r="G210" s="118"/>
    </row>
    <row r="211" spans="1:7" x14ac:dyDescent="0.3">
      <c r="A211" s="33" t="s">
        <v>38</v>
      </c>
      <c r="B211" s="54" t="s">
        <v>29</v>
      </c>
      <c r="C211" s="62">
        <v>112786</v>
      </c>
      <c r="D211" s="63">
        <v>114473</v>
      </c>
      <c r="G211" s="118"/>
    </row>
    <row r="212" spans="1:7" x14ac:dyDescent="0.3">
      <c r="A212" s="33" t="s">
        <v>38</v>
      </c>
      <c r="B212" s="54" t="s">
        <v>30</v>
      </c>
      <c r="C212" s="62">
        <v>114129</v>
      </c>
      <c r="D212" s="63">
        <v>115816</v>
      </c>
      <c r="G212" s="118"/>
    </row>
    <row r="213" spans="1:7" x14ac:dyDescent="0.3">
      <c r="A213" s="33" t="s">
        <v>38</v>
      </c>
      <c r="B213" s="54" t="s">
        <v>31</v>
      </c>
      <c r="C213" s="62">
        <v>114971</v>
      </c>
      <c r="D213" s="63">
        <v>117066</v>
      </c>
      <c r="G213" s="118"/>
    </row>
    <row r="214" spans="1:7" x14ac:dyDescent="0.3">
      <c r="A214" s="33" t="s">
        <v>38</v>
      </c>
      <c r="B214" s="54" t="s">
        <v>32</v>
      </c>
      <c r="C214" s="62">
        <v>115125</v>
      </c>
      <c r="D214" s="63">
        <v>116258</v>
      </c>
      <c r="G214" s="118"/>
    </row>
    <row r="215" spans="1:7" x14ac:dyDescent="0.3">
      <c r="A215" s="33" t="s">
        <v>38</v>
      </c>
      <c r="B215" s="54" t="s">
        <v>33</v>
      </c>
      <c r="C215" s="62">
        <v>114627</v>
      </c>
      <c r="D215" s="63">
        <v>116259</v>
      </c>
      <c r="G215" s="118"/>
    </row>
    <row r="216" spans="1:7" ht="16.2" thickBot="1" x14ac:dyDescent="0.35">
      <c r="A216" s="39" t="s">
        <v>38</v>
      </c>
      <c r="B216" s="57" t="s">
        <v>34</v>
      </c>
      <c r="C216" s="64">
        <v>114880</v>
      </c>
      <c r="D216" s="65">
        <v>115837</v>
      </c>
      <c r="G216" s="118"/>
    </row>
    <row r="217" spans="1:7" x14ac:dyDescent="0.3">
      <c r="A217" s="5" t="s">
        <v>39</v>
      </c>
      <c r="G217" s="118"/>
    </row>
    <row r="218" spans="1:7" ht="16.2" thickBot="1" x14ac:dyDescent="0.35">
      <c r="A218" s="4" t="s">
        <v>95</v>
      </c>
      <c r="G218" s="118"/>
    </row>
    <row r="219" spans="1:7" ht="16.2" thickBot="1" x14ac:dyDescent="0.35">
      <c r="A219" s="66"/>
      <c r="B219" s="50" t="s">
        <v>40</v>
      </c>
      <c r="C219" s="42" t="s">
        <v>41</v>
      </c>
      <c r="G219" s="119" t="s">
        <v>134</v>
      </c>
    </row>
    <row r="220" spans="1:7" x14ac:dyDescent="0.3">
      <c r="A220" s="43" t="s">
        <v>27</v>
      </c>
      <c r="B220" s="67">
        <v>320</v>
      </c>
      <c r="C220" s="51">
        <v>250</v>
      </c>
      <c r="G220" s="118"/>
    </row>
    <row r="221" spans="1:7" x14ac:dyDescent="0.3">
      <c r="A221" s="33" t="s">
        <v>36</v>
      </c>
      <c r="B221" s="32">
        <v>5000</v>
      </c>
      <c r="C221" s="54">
        <v>4000</v>
      </c>
      <c r="G221" s="118"/>
    </row>
    <row r="222" spans="1:7" x14ac:dyDescent="0.3">
      <c r="A222" s="33" t="s">
        <v>37</v>
      </c>
      <c r="B222" s="32">
        <v>5000</v>
      </c>
      <c r="C222" s="54">
        <v>4000</v>
      </c>
      <c r="G222" s="118"/>
    </row>
    <row r="223" spans="1:7" ht="16.2" thickBot="1" x14ac:dyDescent="0.35">
      <c r="A223" s="39" t="s">
        <v>38</v>
      </c>
      <c r="B223" s="38">
        <v>5000</v>
      </c>
      <c r="C223" s="57">
        <v>4000</v>
      </c>
      <c r="G223" s="118"/>
    </row>
    <row r="224" spans="1:7" x14ac:dyDescent="0.3">
      <c r="G224" s="118"/>
    </row>
    <row r="225" spans="1:7" ht="16.2" thickBot="1" x14ac:dyDescent="0.35">
      <c r="A225" s="4" t="s">
        <v>96</v>
      </c>
      <c r="G225" s="118"/>
    </row>
    <row r="226" spans="1:7" ht="16.2" thickBot="1" x14ac:dyDescent="0.35">
      <c r="A226" s="66"/>
      <c r="B226" s="50" t="s">
        <v>41</v>
      </c>
      <c r="C226" s="42" t="s">
        <v>40</v>
      </c>
      <c r="G226" s="119" t="s">
        <v>135</v>
      </c>
    </row>
    <row r="227" spans="1:7" x14ac:dyDescent="0.3">
      <c r="A227" s="43" t="s">
        <v>27</v>
      </c>
      <c r="B227" s="67">
        <v>0</v>
      </c>
      <c r="C227" s="51">
        <v>4619</v>
      </c>
      <c r="G227" s="118"/>
    </row>
    <row r="228" spans="1:7" x14ac:dyDescent="0.3">
      <c r="A228" s="33" t="s">
        <v>36</v>
      </c>
      <c r="B228" s="32">
        <v>0</v>
      </c>
      <c r="C228" s="54">
        <v>0</v>
      </c>
      <c r="G228" s="118"/>
    </row>
    <row r="229" spans="1:7" x14ac:dyDescent="0.3">
      <c r="A229" s="33" t="s">
        <v>37</v>
      </c>
      <c r="B229" s="32">
        <v>0</v>
      </c>
      <c r="C229" s="54">
        <v>0</v>
      </c>
      <c r="G229" s="118"/>
    </row>
    <row r="230" spans="1:7" ht="16.2" thickBot="1" x14ac:dyDescent="0.35">
      <c r="A230" s="39" t="s">
        <v>38</v>
      </c>
      <c r="B230" s="38">
        <v>20</v>
      </c>
      <c r="C230" s="57">
        <v>0</v>
      </c>
      <c r="G230" s="118"/>
    </row>
    <row r="231" spans="1:7" x14ac:dyDescent="0.3">
      <c r="A231" s="5" t="s">
        <v>108</v>
      </c>
      <c r="G231" s="118"/>
    </row>
    <row r="232" spans="1:7" ht="16.2" thickBot="1" x14ac:dyDescent="0.35">
      <c r="A232" s="4" t="s">
        <v>97</v>
      </c>
      <c r="G232" s="118"/>
    </row>
    <row r="233" spans="1:7" ht="16.2" thickBot="1" x14ac:dyDescent="0.35">
      <c r="A233" s="50"/>
      <c r="B233" s="42" t="s">
        <v>27</v>
      </c>
      <c r="G233" s="119" t="s">
        <v>136</v>
      </c>
    </row>
    <row r="234" spans="1:7" x14ac:dyDescent="0.3">
      <c r="A234" s="32" t="s">
        <v>27</v>
      </c>
      <c r="B234" s="33">
        <v>1</v>
      </c>
      <c r="G234" s="118"/>
    </row>
    <row r="235" spans="1:7" x14ac:dyDescent="0.3">
      <c r="A235" s="32" t="s">
        <v>36</v>
      </c>
      <c r="B235" s="33">
        <v>0</v>
      </c>
      <c r="G235" s="118"/>
    </row>
    <row r="236" spans="1:7" x14ac:dyDescent="0.3">
      <c r="A236" s="32" t="s">
        <v>37</v>
      </c>
      <c r="B236" s="33">
        <v>0</v>
      </c>
      <c r="G236" s="118"/>
    </row>
    <row r="237" spans="1:7" ht="16.2" thickBot="1" x14ac:dyDescent="0.35">
      <c r="A237" s="38" t="s">
        <v>38</v>
      </c>
      <c r="B237" s="39">
        <v>0</v>
      </c>
      <c r="G237" s="118"/>
    </row>
    <row r="238" spans="1:7" x14ac:dyDescent="0.3">
      <c r="G238" s="118"/>
    </row>
    <row r="239" spans="1:7" ht="16.2" thickBot="1" x14ac:dyDescent="0.35">
      <c r="A239" s="4" t="s">
        <v>98</v>
      </c>
      <c r="G239" s="118"/>
    </row>
    <row r="240" spans="1:7" ht="16.2" thickBot="1" x14ac:dyDescent="0.35">
      <c r="A240" s="66"/>
      <c r="B240" s="68" t="s">
        <v>36</v>
      </c>
      <c r="C240" s="68" t="s">
        <v>37</v>
      </c>
      <c r="D240" s="30" t="s">
        <v>38</v>
      </c>
      <c r="G240" s="120" t="s">
        <v>137</v>
      </c>
    </row>
    <row r="241" spans="1:7" x14ac:dyDescent="0.3">
      <c r="A241" s="33" t="s">
        <v>27</v>
      </c>
      <c r="B241" s="69">
        <v>0</v>
      </c>
      <c r="C241" s="69">
        <v>0</v>
      </c>
      <c r="D241" s="54">
        <v>0</v>
      </c>
      <c r="G241" s="118"/>
    </row>
    <row r="242" spans="1:7" x14ac:dyDescent="0.3">
      <c r="A242" s="33" t="s">
        <v>36</v>
      </c>
      <c r="B242" s="69">
        <v>1</v>
      </c>
      <c r="C242" s="69">
        <v>0</v>
      </c>
      <c r="D242" s="54">
        <v>0</v>
      </c>
      <c r="G242" s="118"/>
    </row>
    <row r="243" spans="1:7" x14ac:dyDescent="0.3">
      <c r="A243" s="33" t="s">
        <v>37</v>
      </c>
      <c r="B243" s="69">
        <v>0</v>
      </c>
      <c r="C243" s="69">
        <v>1</v>
      </c>
      <c r="D243" s="54">
        <v>0</v>
      </c>
      <c r="G243" s="118"/>
    </row>
    <row r="244" spans="1:7" ht="16.2" thickBot="1" x14ac:dyDescent="0.35">
      <c r="A244" s="39" t="s">
        <v>38</v>
      </c>
      <c r="B244" s="70">
        <v>0</v>
      </c>
      <c r="C244" s="70">
        <v>0</v>
      </c>
      <c r="D244" s="57">
        <v>1</v>
      </c>
      <c r="G244" s="118"/>
    </row>
    <row r="245" spans="1:7" x14ac:dyDescent="0.3">
      <c r="G245" s="118"/>
    </row>
    <row r="246" spans="1:7" ht="16.2" thickBot="1" x14ac:dyDescent="0.35">
      <c r="A246" s="4" t="s">
        <v>99</v>
      </c>
      <c r="G246" s="118"/>
    </row>
    <row r="247" spans="1:7" ht="16.2" thickBot="1" x14ac:dyDescent="0.35">
      <c r="A247" s="29"/>
      <c r="B247" s="30"/>
      <c r="C247" s="50" t="s">
        <v>42</v>
      </c>
      <c r="D247" s="42" t="s">
        <v>43</v>
      </c>
      <c r="E247" s="42" t="s">
        <v>44</v>
      </c>
      <c r="G247" s="120" t="s">
        <v>138</v>
      </c>
    </row>
    <row r="248" spans="1:7" x14ac:dyDescent="0.3">
      <c r="A248" s="43" t="s">
        <v>28</v>
      </c>
      <c r="B248" s="51" t="s">
        <v>29</v>
      </c>
      <c r="C248" s="67">
        <v>295</v>
      </c>
      <c r="D248" s="71">
        <v>0</v>
      </c>
      <c r="E248" s="51">
        <v>1</v>
      </c>
      <c r="G248" s="118" t="s">
        <v>45</v>
      </c>
    </row>
    <row r="249" spans="1:7" x14ac:dyDescent="0.3">
      <c r="A249" s="33" t="s">
        <v>28</v>
      </c>
      <c r="B249" s="54" t="s">
        <v>46</v>
      </c>
      <c r="C249" s="32">
        <v>398</v>
      </c>
      <c r="D249" s="69">
        <v>0</v>
      </c>
      <c r="E249" s="54">
        <v>1</v>
      </c>
      <c r="G249" s="118" t="s">
        <v>47</v>
      </c>
    </row>
    <row r="250" spans="1:7" x14ac:dyDescent="0.3">
      <c r="A250" s="33" t="s">
        <v>29</v>
      </c>
      <c r="B250" s="54" t="s">
        <v>30</v>
      </c>
      <c r="C250" s="32">
        <v>314</v>
      </c>
      <c r="D250" s="69">
        <v>0</v>
      </c>
      <c r="E250" s="54">
        <v>1</v>
      </c>
      <c r="G250" s="118" t="s">
        <v>48</v>
      </c>
    </row>
    <row r="251" spans="1:7" x14ac:dyDescent="0.3">
      <c r="A251" s="33" t="s">
        <v>29</v>
      </c>
      <c r="B251" s="54" t="s">
        <v>33</v>
      </c>
      <c r="C251" s="32">
        <v>103</v>
      </c>
      <c r="D251" s="69">
        <v>1731</v>
      </c>
      <c r="E251" s="54">
        <v>1</v>
      </c>
      <c r="G251" s="118" t="s">
        <v>49</v>
      </c>
    </row>
    <row r="252" spans="1:7" x14ac:dyDescent="0.3">
      <c r="A252" s="33" t="s">
        <v>29</v>
      </c>
      <c r="B252" s="54" t="s">
        <v>34</v>
      </c>
      <c r="C252" s="32">
        <v>103</v>
      </c>
      <c r="D252" s="69">
        <v>1877</v>
      </c>
      <c r="E252" s="54">
        <v>1</v>
      </c>
      <c r="G252" s="118" t="s">
        <v>50</v>
      </c>
    </row>
    <row r="253" spans="1:7" x14ac:dyDescent="0.3">
      <c r="A253" s="33" t="s">
        <v>29</v>
      </c>
      <c r="B253" s="54" t="s">
        <v>46</v>
      </c>
      <c r="C253" s="32">
        <v>103</v>
      </c>
      <c r="D253" s="69">
        <v>0</v>
      </c>
      <c r="E253" s="54">
        <v>1</v>
      </c>
      <c r="G253" s="118" t="s">
        <v>51</v>
      </c>
    </row>
    <row r="254" spans="1:7" x14ac:dyDescent="0.3">
      <c r="A254" s="33" t="s">
        <v>30</v>
      </c>
      <c r="B254" s="54" t="s">
        <v>31</v>
      </c>
      <c r="C254" s="32">
        <v>765</v>
      </c>
      <c r="D254" s="69">
        <v>0</v>
      </c>
      <c r="E254" s="54">
        <v>1</v>
      </c>
      <c r="G254" s="118" t="s">
        <v>52</v>
      </c>
    </row>
    <row r="255" spans="1:7" x14ac:dyDescent="0.3">
      <c r="A255" s="33" t="s">
        <v>30</v>
      </c>
      <c r="B255" s="54" t="s">
        <v>46</v>
      </c>
      <c r="C255" s="32">
        <v>417</v>
      </c>
      <c r="D255" s="69">
        <v>0</v>
      </c>
      <c r="E255" s="54">
        <v>1</v>
      </c>
      <c r="G255" s="118" t="s">
        <v>53</v>
      </c>
    </row>
    <row r="256" spans="1:7" x14ac:dyDescent="0.3">
      <c r="A256" s="33" t="s">
        <v>31</v>
      </c>
      <c r="B256" s="54" t="s">
        <v>32</v>
      </c>
      <c r="C256" s="32">
        <v>375</v>
      </c>
      <c r="D256" s="69">
        <v>0</v>
      </c>
      <c r="E256" s="54">
        <v>1</v>
      </c>
      <c r="G256" s="118" t="s">
        <v>54</v>
      </c>
    </row>
    <row r="257" spans="1:7" x14ac:dyDescent="0.3">
      <c r="A257" s="33" t="s">
        <v>31</v>
      </c>
      <c r="B257" s="54" t="s">
        <v>33</v>
      </c>
      <c r="C257" s="32">
        <v>686</v>
      </c>
      <c r="D257" s="69">
        <v>0</v>
      </c>
      <c r="E257" s="54">
        <v>1</v>
      </c>
      <c r="G257" s="118" t="s">
        <v>55</v>
      </c>
    </row>
    <row r="258" spans="1:7" x14ac:dyDescent="0.3">
      <c r="A258" s="33" t="s">
        <v>31</v>
      </c>
      <c r="B258" s="54" t="s">
        <v>34</v>
      </c>
      <c r="C258" s="32">
        <v>864</v>
      </c>
      <c r="D258" s="69">
        <v>0</v>
      </c>
      <c r="E258" s="54">
        <v>1</v>
      </c>
      <c r="G258" s="118" t="s">
        <v>56</v>
      </c>
    </row>
    <row r="259" spans="1:7" x14ac:dyDescent="0.3">
      <c r="A259" s="33" t="s">
        <v>31</v>
      </c>
      <c r="B259" s="54" t="s">
        <v>46</v>
      </c>
      <c r="C259" s="32">
        <v>686</v>
      </c>
      <c r="D259" s="69">
        <v>0</v>
      </c>
      <c r="E259" s="54">
        <v>1</v>
      </c>
      <c r="G259" s="118" t="s">
        <v>55</v>
      </c>
    </row>
    <row r="260" spans="1:7" x14ac:dyDescent="0.3">
      <c r="A260" s="33" t="s">
        <v>32</v>
      </c>
      <c r="B260" s="54" t="s">
        <v>33</v>
      </c>
      <c r="C260" s="32">
        <v>353</v>
      </c>
      <c r="D260" s="69">
        <v>0</v>
      </c>
      <c r="E260" s="54">
        <v>1</v>
      </c>
      <c r="G260" s="118" t="s">
        <v>57</v>
      </c>
    </row>
    <row r="261" spans="1:7" x14ac:dyDescent="0.3">
      <c r="A261" s="33" t="s">
        <v>32</v>
      </c>
      <c r="B261" s="54" t="s">
        <v>46</v>
      </c>
      <c r="C261" s="32">
        <v>353</v>
      </c>
      <c r="D261" s="69">
        <v>0</v>
      </c>
      <c r="E261" s="54">
        <v>1</v>
      </c>
      <c r="G261" s="118" t="s">
        <v>58</v>
      </c>
    </row>
    <row r="262" spans="1:7" x14ac:dyDescent="0.3">
      <c r="A262" s="33" t="s">
        <v>33</v>
      </c>
      <c r="B262" s="54" t="s">
        <v>34</v>
      </c>
      <c r="C262" s="32">
        <v>0</v>
      </c>
      <c r="D262" s="69">
        <v>207</v>
      </c>
      <c r="E262" s="54">
        <v>1</v>
      </c>
      <c r="G262" s="118" t="s">
        <v>59</v>
      </c>
    </row>
    <row r="263" spans="1:7" x14ac:dyDescent="0.3">
      <c r="A263" s="33" t="s">
        <v>33</v>
      </c>
      <c r="B263" s="54" t="s">
        <v>46</v>
      </c>
      <c r="C263" s="32">
        <v>20</v>
      </c>
      <c r="D263" s="69">
        <v>0</v>
      </c>
      <c r="E263" s="54">
        <v>1</v>
      </c>
      <c r="G263" s="118" t="s">
        <v>60</v>
      </c>
    </row>
    <row r="264" spans="1:7" ht="16.2" thickBot="1" x14ac:dyDescent="0.35">
      <c r="A264" s="39" t="s">
        <v>34</v>
      </c>
      <c r="B264" s="57" t="s">
        <v>46</v>
      </c>
      <c r="C264" s="38">
        <v>20</v>
      </c>
      <c r="D264" s="70">
        <v>0</v>
      </c>
      <c r="E264" s="57">
        <v>1</v>
      </c>
      <c r="G264" s="118"/>
    </row>
    <row r="265" spans="1:7" x14ac:dyDescent="0.3">
      <c r="G265" s="118"/>
    </row>
    <row r="266" spans="1:7" ht="16.2" thickBot="1" x14ac:dyDescent="0.35">
      <c r="A266" s="88" t="s">
        <v>106</v>
      </c>
      <c r="G266" s="118"/>
    </row>
    <row r="267" spans="1:7" ht="16.2" thickBot="1" x14ac:dyDescent="0.35">
      <c r="A267" s="72"/>
      <c r="B267" s="42" t="s">
        <v>25</v>
      </c>
      <c r="C267" s="42" t="s">
        <v>26</v>
      </c>
      <c r="G267" s="119" t="s">
        <v>139</v>
      </c>
    </row>
    <row r="268" spans="1:7" x14ac:dyDescent="0.3">
      <c r="A268" s="43" t="s">
        <v>28</v>
      </c>
      <c r="B268" s="43">
        <v>30.521000000000001</v>
      </c>
      <c r="C268" s="54">
        <v>15.146000000000001</v>
      </c>
      <c r="G268" s="118"/>
    </row>
    <row r="269" spans="1:7" x14ac:dyDescent="0.3">
      <c r="A269" s="33" t="s">
        <v>29</v>
      </c>
      <c r="B269" s="33">
        <v>39.433999999999997</v>
      </c>
      <c r="C269" s="54">
        <v>24.27</v>
      </c>
      <c r="G269" s="118"/>
    </row>
    <row r="270" spans="1:7" x14ac:dyDescent="0.3">
      <c r="A270" s="33" t="s">
        <v>30</v>
      </c>
      <c r="B270" s="33">
        <v>30.16</v>
      </c>
      <c r="C270" s="54">
        <v>15.73</v>
      </c>
      <c r="G270" s="118"/>
    </row>
    <row r="271" spans="1:7" x14ac:dyDescent="0.3">
      <c r="A271" s="33" t="s">
        <v>31</v>
      </c>
      <c r="B271" s="33">
        <v>32.283999999999999</v>
      </c>
      <c r="C271" s="54">
        <v>19.59</v>
      </c>
      <c r="G271" s="118"/>
    </row>
    <row r="272" spans="1:7" x14ac:dyDescent="0.3">
      <c r="A272" s="33" t="s">
        <v>32</v>
      </c>
      <c r="B272" s="33">
        <v>30.167999999999999</v>
      </c>
      <c r="C272" s="54">
        <v>20.954999999999998</v>
      </c>
      <c r="G272" s="118"/>
    </row>
    <row r="273" spans="1:7" x14ac:dyDescent="0.3">
      <c r="A273" s="33" t="s">
        <v>33</v>
      </c>
      <c r="B273" s="33">
        <v>42.3</v>
      </c>
      <c r="C273" s="54">
        <v>31.11</v>
      </c>
      <c r="G273" s="118"/>
    </row>
    <row r="274" spans="1:7" ht="16.2" thickBot="1" x14ac:dyDescent="0.35">
      <c r="A274" s="39" t="s">
        <v>34</v>
      </c>
      <c r="B274" s="39">
        <v>28.994</v>
      </c>
      <c r="C274" s="57">
        <v>21.62</v>
      </c>
      <c r="G274" s="118"/>
    </row>
    <row r="275" spans="1:7" x14ac:dyDescent="0.3">
      <c r="A275" s="5" t="s">
        <v>61</v>
      </c>
      <c r="G275" s="118"/>
    </row>
    <row r="276" spans="1:7" ht="16.2" thickBot="1" x14ac:dyDescent="0.35">
      <c r="A276" s="88" t="s">
        <v>107</v>
      </c>
      <c r="G276" s="118"/>
    </row>
    <row r="277" spans="1:7" ht="16.2" thickBot="1" x14ac:dyDescent="0.35">
      <c r="A277" s="72"/>
      <c r="B277" s="42" t="s">
        <v>25</v>
      </c>
      <c r="C277" s="42" t="s">
        <v>26</v>
      </c>
      <c r="G277" s="119" t="s">
        <v>140</v>
      </c>
    </row>
    <row r="278" spans="1:7" x14ac:dyDescent="0.3">
      <c r="A278" s="43" t="s">
        <v>28</v>
      </c>
      <c r="B278" s="43">
        <v>2012.4</v>
      </c>
      <c r="C278" s="54">
        <v>9554.2999999999993</v>
      </c>
    </row>
    <row r="279" spans="1:7" x14ac:dyDescent="0.3">
      <c r="A279" s="33" t="s">
        <v>29</v>
      </c>
      <c r="B279" s="33">
        <v>6732.1</v>
      </c>
      <c r="C279" s="54">
        <v>13874.5</v>
      </c>
    </row>
    <row r="280" spans="1:7" x14ac:dyDescent="0.3">
      <c r="A280" s="33" t="s">
        <v>30</v>
      </c>
      <c r="B280" s="33">
        <v>1906.4</v>
      </c>
      <c r="C280" s="54">
        <v>8410.6</v>
      </c>
    </row>
    <row r="281" spans="1:7" x14ac:dyDescent="0.3">
      <c r="A281" s="33" t="s">
        <v>31</v>
      </c>
      <c r="B281" s="33">
        <v>3252.8</v>
      </c>
      <c r="C281" s="54">
        <v>5845.2</v>
      </c>
    </row>
    <row r="282" spans="1:7" x14ac:dyDescent="0.3">
      <c r="A282" s="33" t="s">
        <v>32</v>
      </c>
      <c r="B282" s="33">
        <v>1590.4</v>
      </c>
      <c r="C282" s="54">
        <v>3929.7</v>
      </c>
    </row>
    <row r="283" spans="1:7" x14ac:dyDescent="0.3">
      <c r="A283" s="33" t="s">
        <v>33</v>
      </c>
      <c r="B283" s="33">
        <v>9969.7000000000007</v>
      </c>
      <c r="C283" s="54">
        <v>6038.5</v>
      </c>
    </row>
    <row r="284" spans="1:7" ht="16.2" thickBot="1" x14ac:dyDescent="0.35">
      <c r="A284" s="39" t="s">
        <v>34</v>
      </c>
      <c r="B284" s="39">
        <v>4347.8</v>
      </c>
      <c r="C284" s="57">
        <v>13128.9</v>
      </c>
    </row>
    <row r="285" spans="1:7" x14ac:dyDescent="0.3">
      <c r="A285" s="5" t="s">
        <v>101</v>
      </c>
    </row>
    <row r="286" spans="1:7" ht="16.2" thickBot="1" x14ac:dyDescent="0.35">
      <c r="A286" s="88" t="s">
        <v>109</v>
      </c>
    </row>
    <row r="287" spans="1:7" ht="16.2" thickBot="1" x14ac:dyDescent="0.35">
      <c r="A287" s="73"/>
      <c r="B287" s="74" t="s">
        <v>27</v>
      </c>
      <c r="G287" s="119" t="s">
        <v>141</v>
      </c>
    </row>
    <row r="288" spans="1:7" x14ac:dyDescent="0.3">
      <c r="A288" s="43" t="s">
        <v>36</v>
      </c>
      <c r="B288" s="75">
        <v>0.3</v>
      </c>
    </row>
    <row r="289" spans="1:7" x14ac:dyDescent="0.3">
      <c r="A289" s="33" t="s">
        <v>37</v>
      </c>
      <c r="B289" s="76">
        <v>0.85</v>
      </c>
    </row>
    <row r="290" spans="1:7" ht="16.2" thickBot="1" x14ac:dyDescent="0.35">
      <c r="A290" s="39" t="s">
        <v>38</v>
      </c>
      <c r="B290" s="77">
        <v>0.9</v>
      </c>
    </row>
    <row r="292" spans="1:7" ht="16.2" thickBot="1" x14ac:dyDescent="0.35">
      <c r="A292" s="88" t="s">
        <v>110</v>
      </c>
    </row>
    <row r="293" spans="1:7" ht="16.2" thickBot="1" x14ac:dyDescent="0.35">
      <c r="A293" s="78"/>
      <c r="B293" s="42" t="s">
        <v>62</v>
      </c>
      <c r="C293" s="42" t="s">
        <v>63</v>
      </c>
      <c r="G293" s="119" t="s">
        <v>142</v>
      </c>
    </row>
    <row r="294" spans="1:7" x14ac:dyDescent="0.3">
      <c r="A294" s="43" t="s">
        <v>27</v>
      </c>
      <c r="B294" s="79">
        <v>1.1000000000000001</v>
      </c>
      <c r="C294" s="80">
        <v>1.6186</v>
      </c>
    </row>
    <row r="295" spans="1:7" x14ac:dyDescent="0.3">
      <c r="A295" s="33" t="s">
        <v>36</v>
      </c>
      <c r="B295" s="80">
        <v>1.2650999999999999</v>
      </c>
      <c r="C295" s="54"/>
    </row>
    <row r="296" spans="1:7" x14ac:dyDescent="0.3">
      <c r="A296" s="33" t="s">
        <v>37</v>
      </c>
      <c r="B296" s="80">
        <v>1.2650999999999999</v>
      </c>
      <c r="C296" s="54"/>
    </row>
    <row r="297" spans="1:7" ht="16.2" thickBot="1" x14ac:dyDescent="0.35">
      <c r="A297" s="39" t="s">
        <v>38</v>
      </c>
      <c r="B297" s="81">
        <v>1.2650999999999999</v>
      </c>
      <c r="C297" s="57"/>
    </row>
    <row r="299" spans="1:7" ht="16.2" thickBot="1" x14ac:dyDescent="0.35">
      <c r="A299" s="4" t="s">
        <v>82</v>
      </c>
    </row>
    <row r="300" spans="1:7" ht="16.2" thickBot="1" x14ac:dyDescent="0.35">
      <c r="A300" s="66"/>
      <c r="B300" s="50" t="s">
        <v>25</v>
      </c>
      <c r="C300" s="42" t="s">
        <v>26</v>
      </c>
      <c r="G300" s="99" t="s">
        <v>143</v>
      </c>
    </row>
    <row r="301" spans="1:7" x14ac:dyDescent="0.3">
      <c r="A301" s="43" t="s">
        <v>28</v>
      </c>
      <c r="B301" s="52">
        <v>0.05</v>
      </c>
      <c r="C301" s="53">
        <v>4.4999999999999998E-2</v>
      </c>
    </row>
    <row r="302" spans="1:7" x14ac:dyDescent="0.3">
      <c r="A302" s="33" t="s">
        <v>29</v>
      </c>
      <c r="B302" s="55">
        <v>5.5E-2</v>
      </c>
      <c r="C302" s="56">
        <v>6.5000000000000002E-2</v>
      </c>
    </row>
    <row r="303" spans="1:7" x14ac:dyDescent="0.3">
      <c r="A303" s="33" t="s">
        <v>30</v>
      </c>
      <c r="B303" s="55">
        <v>6.5000000000000002E-2</v>
      </c>
      <c r="C303" s="56">
        <v>0.05</v>
      </c>
    </row>
    <row r="304" spans="1:7" x14ac:dyDescent="0.3">
      <c r="A304" s="33" t="s">
        <v>31</v>
      </c>
      <c r="B304" s="55">
        <v>5.5E-2</v>
      </c>
      <c r="C304" s="56">
        <v>0.05</v>
      </c>
    </row>
    <row r="305" spans="1:10" x14ac:dyDescent="0.3">
      <c r="A305" s="33" t="s">
        <v>32</v>
      </c>
      <c r="B305" s="55">
        <v>0.05</v>
      </c>
      <c r="C305" s="56">
        <v>6.5000000000000002E-2</v>
      </c>
    </row>
    <row r="306" spans="1:10" x14ac:dyDescent="0.3">
      <c r="A306" s="33" t="s">
        <v>33</v>
      </c>
      <c r="B306" s="55">
        <v>3.5000000000000003E-2</v>
      </c>
      <c r="C306" s="56">
        <v>0.06</v>
      </c>
    </row>
    <row r="307" spans="1:10" ht="16.2" thickBot="1" x14ac:dyDescent="0.35">
      <c r="A307" s="39" t="s">
        <v>34</v>
      </c>
      <c r="B307" s="58">
        <v>0.02</v>
      </c>
      <c r="C307" s="59">
        <v>3.5000000000000003E-2</v>
      </c>
    </row>
    <row r="308" spans="1:10" x14ac:dyDescent="0.3">
      <c r="A308" s="5" t="s">
        <v>102</v>
      </c>
    </row>
    <row r="309" spans="1:10" ht="16.2" thickBot="1" x14ac:dyDescent="0.35">
      <c r="A309" s="4" t="s">
        <v>83</v>
      </c>
    </row>
    <row r="310" spans="1:10" ht="16.2" thickBot="1" x14ac:dyDescent="0.35">
      <c r="A310" s="66"/>
      <c r="B310" s="29" t="s">
        <v>25</v>
      </c>
      <c r="C310" s="30" t="s">
        <v>26</v>
      </c>
      <c r="G310" s="99" t="s">
        <v>144</v>
      </c>
    </row>
    <row r="311" spans="1:10" x14ac:dyDescent="0.3">
      <c r="A311" s="33" t="s">
        <v>28</v>
      </c>
      <c r="B311" s="82">
        <v>2.3599999999999999E-2</v>
      </c>
      <c r="C311" s="83">
        <v>4.3E-3</v>
      </c>
    </row>
    <row r="312" spans="1:10" x14ac:dyDescent="0.3">
      <c r="A312" s="33" t="s">
        <v>29</v>
      </c>
      <c r="B312" s="84">
        <v>3.7999999999999999E-2</v>
      </c>
      <c r="C312" s="85">
        <v>-1.0200000000000001E-2</v>
      </c>
    </row>
    <row r="313" spans="1:10" x14ac:dyDescent="0.3">
      <c r="A313" s="33" t="s">
        <v>30</v>
      </c>
      <c r="B313" s="84">
        <v>2.8500000000000001E-2</v>
      </c>
      <c r="C313" s="85">
        <v>-5.4999999999999997E-3</v>
      </c>
    </row>
    <row r="314" spans="1:10" x14ac:dyDescent="0.3">
      <c r="A314" s="33" t="s">
        <v>31</v>
      </c>
      <c r="B314" s="84">
        <v>2.53E-2</v>
      </c>
      <c r="C314" s="85">
        <v>-5.4999999999999997E-3</v>
      </c>
    </row>
    <row r="315" spans="1:10" x14ac:dyDescent="0.3">
      <c r="A315" s="33" t="s">
        <v>32</v>
      </c>
      <c r="B315" s="84">
        <v>2.1600000000000001E-2</v>
      </c>
      <c r="C315" s="85">
        <v>1.43E-2</v>
      </c>
    </row>
    <row r="316" spans="1:10" x14ac:dyDescent="0.3">
      <c r="A316" s="33" t="s">
        <v>33</v>
      </c>
      <c r="B316" s="84">
        <v>3.5099999999999999E-2</v>
      </c>
      <c r="C316" s="85">
        <v>8.8999999999999999E-3</v>
      </c>
    </row>
    <row r="317" spans="1:10" ht="16.2" thickBot="1" x14ac:dyDescent="0.35">
      <c r="A317" s="39" t="s">
        <v>34</v>
      </c>
      <c r="B317" s="86">
        <v>2.9899999999999999E-2</v>
      </c>
      <c r="C317" s="87">
        <v>-5.7000000000000002E-3</v>
      </c>
    </row>
    <row r="318" spans="1:10" x14ac:dyDescent="0.3">
      <c r="A318" s="5" t="s">
        <v>105</v>
      </c>
    </row>
    <row r="319" spans="1:10" ht="16.2" thickBot="1" x14ac:dyDescent="0.35">
      <c r="A319" s="4" t="s">
        <v>116</v>
      </c>
    </row>
    <row r="320" spans="1:10" ht="16.2" thickBot="1" x14ac:dyDescent="0.35">
      <c r="A320" s="50"/>
      <c r="B320" s="50" t="s">
        <v>28</v>
      </c>
      <c r="C320" s="114" t="s">
        <v>29</v>
      </c>
      <c r="D320" s="114" t="s">
        <v>30</v>
      </c>
      <c r="E320" s="114" t="s">
        <v>31</v>
      </c>
      <c r="F320" s="114" t="s">
        <v>32</v>
      </c>
      <c r="G320" s="114" t="s">
        <v>33</v>
      </c>
      <c r="H320" s="31" t="s">
        <v>34</v>
      </c>
      <c r="J320" s="120" t="s">
        <v>120</v>
      </c>
    </row>
    <row r="321" spans="1:11" ht="16.2" thickBot="1" x14ac:dyDescent="0.35">
      <c r="A321" s="38" t="s">
        <v>27</v>
      </c>
      <c r="B321" s="38">
        <v>2.7E-2</v>
      </c>
      <c r="C321" s="70">
        <v>2.7E-2</v>
      </c>
      <c r="D321" s="70">
        <v>2.7E-2</v>
      </c>
      <c r="E321" s="70">
        <v>3.7999999999999999E-2</v>
      </c>
      <c r="F321" s="70">
        <v>3.7999999999999999E-2</v>
      </c>
      <c r="G321" s="70">
        <v>3.7999999999999999E-2</v>
      </c>
      <c r="H321" s="57">
        <v>3.7999999999999999E-2</v>
      </c>
    </row>
    <row r="323" spans="1:11" ht="16.2" thickBot="1" x14ac:dyDescent="0.35">
      <c r="A323" s="4" t="s">
        <v>117</v>
      </c>
    </row>
    <row r="324" spans="1:11" ht="16.2" thickBot="1" x14ac:dyDescent="0.35">
      <c r="A324" s="50"/>
      <c r="B324" s="50" t="s">
        <v>28</v>
      </c>
      <c r="C324" s="114" t="s">
        <v>29</v>
      </c>
      <c r="D324" s="114" t="s">
        <v>30</v>
      </c>
      <c r="E324" s="114" t="s">
        <v>31</v>
      </c>
      <c r="F324" s="114" t="s">
        <v>32</v>
      </c>
      <c r="G324" s="114" t="s">
        <v>33</v>
      </c>
      <c r="H324" s="31" t="s">
        <v>34</v>
      </c>
      <c r="J324" s="120" t="s">
        <v>119</v>
      </c>
    </row>
    <row r="325" spans="1:11" ht="16.2" thickBot="1" x14ac:dyDescent="0.35">
      <c r="A325" s="38" t="s">
        <v>27</v>
      </c>
      <c r="B325" s="38">
        <v>0.01</v>
      </c>
      <c r="C325" s="70">
        <v>0.01</v>
      </c>
      <c r="D325" s="70">
        <v>0.01</v>
      </c>
      <c r="E325" s="70">
        <v>1.2E-2</v>
      </c>
      <c r="F325" s="70">
        <v>1.2E-2</v>
      </c>
      <c r="G325" s="70">
        <v>1.2E-2</v>
      </c>
      <c r="H325" s="57">
        <v>1.2E-2</v>
      </c>
    </row>
    <row r="326" spans="1:11" x14ac:dyDescent="0.3">
      <c r="B326" s="563">
        <f>B325+B321</f>
        <v>3.6999999999999998E-2</v>
      </c>
      <c r="C326" s="563">
        <f t="shared" ref="C326:H326" si="0">C325+C321</f>
        <v>3.6999999999999998E-2</v>
      </c>
      <c r="D326" s="563">
        <f t="shared" si="0"/>
        <v>3.6999999999999998E-2</v>
      </c>
      <c r="E326" s="563">
        <f t="shared" si="0"/>
        <v>0.05</v>
      </c>
      <c r="F326" s="563">
        <f t="shared" si="0"/>
        <v>0.05</v>
      </c>
      <c r="G326" s="563">
        <f t="shared" si="0"/>
        <v>0.05</v>
      </c>
      <c r="H326" s="563">
        <f t="shared" si="0"/>
        <v>0.05</v>
      </c>
    </row>
    <row r="327" spans="1:11" ht="16.2" thickBot="1" x14ac:dyDescent="0.35">
      <c r="A327" s="4" t="s">
        <v>118</v>
      </c>
    </row>
    <row r="328" spans="1:11" ht="16.2" thickBot="1" x14ac:dyDescent="0.35">
      <c r="A328" s="29"/>
      <c r="B328" s="30"/>
      <c r="C328" s="50" t="s">
        <v>28</v>
      </c>
      <c r="D328" s="114" t="s">
        <v>29</v>
      </c>
      <c r="E328" s="114" t="s">
        <v>30</v>
      </c>
      <c r="F328" s="114" t="s">
        <v>31</v>
      </c>
      <c r="G328" s="114" t="s">
        <v>32</v>
      </c>
      <c r="H328" s="114" t="s">
        <v>33</v>
      </c>
      <c r="I328" s="31" t="s">
        <v>34</v>
      </c>
      <c r="K328" s="120" t="s">
        <v>121</v>
      </c>
    </row>
    <row r="329" spans="1:11" x14ac:dyDescent="0.3">
      <c r="A329" s="43" t="s">
        <v>36</v>
      </c>
      <c r="B329" s="43" t="s">
        <v>36</v>
      </c>
      <c r="C329" s="55">
        <v>0.6</v>
      </c>
      <c r="D329" s="115">
        <v>0.6</v>
      </c>
      <c r="E329" s="115">
        <v>0.6</v>
      </c>
      <c r="F329" s="115">
        <v>0.6</v>
      </c>
      <c r="G329" s="115">
        <v>0.6</v>
      </c>
      <c r="H329" s="115">
        <v>0.6</v>
      </c>
      <c r="I329" s="56">
        <v>0.6</v>
      </c>
    </row>
    <row r="330" spans="1:11" x14ac:dyDescent="0.3">
      <c r="A330" s="33" t="s">
        <v>36</v>
      </c>
      <c r="B330" s="33" t="s">
        <v>37</v>
      </c>
      <c r="C330" s="55">
        <v>-0.05</v>
      </c>
      <c r="D330" s="115">
        <v>-0.05</v>
      </c>
      <c r="E330" s="115">
        <v>-0.05</v>
      </c>
      <c r="F330" s="115">
        <v>-0.05</v>
      </c>
      <c r="G330" s="115">
        <v>-0.05</v>
      </c>
      <c r="H330" s="115">
        <v>-0.05</v>
      </c>
      <c r="I330" s="56">
        <v>-0.05</v>
      </c>
    </row>
    <row r="331" spans="1:11" x14ac:dyDescent="0.3">
      <c r="A331" s="33" t="s">
        <v>36</v>
      </c>
      <c r="B331" s="33" t="s">
        <v>38</v>
      </c>
      <c r="C331" s="55">
        <v>-0.05</v>
      </c>
      <c r="D331" s="115">
        <v>-0.05</v>
      </c>
      <c r="E331" s="115">
        <v>-0.05</v>
      </c>
      <c r="F331" s="115">
        <v>-0.05</v>
      </c>
      <c r="G331" s="115">
        <v>-0.05</v>
      </c>
      <c r="H331" s="115">
        <v>-0.05</v>
      </c>
      <c r="I331" s="56">
        <v>-0.05</v>
      </c>
    </row>
    <row r="332" spans="1:11" x14ac:dyDescent="0.3">
      <c r="A332" s="33" t="s">
        <v>37</v>
      </c>
      <c r="B332" s="33" t="s">
        <v>36</v>
      </c>
      <c r="C332" s="55">
        <v>-0.05</v>
      </c>
      <c r="D332" s="115">
        <v>-0.05</v>
      </c>
      <c r="E332" s="115">
        <v>-0.05</v>
      </c>
      <c r="F332" s="115">
        <v>-0.05</v>
      </c>
      <c r="G332" s="115">
        <v>-0.05</v>
      </c>
      <c r="H332" s="115">
        <v>-0.05</v>
      </c>
      <c r="I332" s="56">
        <v>-0.05</v>
      </c>
    </row>
    <row r="333" spans="1:11" x14ac:dyDescent="0.3">
      <c r="A333" s="33" t="s">
        <v>37</v>
      </c>
      <c r="B333" s="33" t="s">
        <v>37</v>
      </c>
      <c r="C333" s="55">
        <v>0.65</v>
      </c>
      <c r="D333" s="115">
        <v>0.65</v>
      </c>
      <c r="E333" s="115">
        <v>0.65</v>
      </c>
      <c r="F333" s="115">
        <v>0.65</v>
      </c>
      <c r="G333" s="115">
        <v>0.65</v>
      </c>
      <c r="H333" s="115">
        <v>0.65</v>
      </c>
      <c r="I333" s="56">
        <v>0.65</v>
      </c>
    </row>
    <row r="334" spans="1:11" x14ac:dyDescent="0.3">
      <c r="A334" s="33" t="s">
        <v>37</v>
      </c>
      <c r="B334" s="33" t="s">
        <v>38</v>
      </c>
      <c r="C334" s="55">
        <v>-0.05</v>
      </c>
      <c r="D334" s="115">
        <v>-0.05</v>
      </c>
      <c r="E334" s="115">
        <v>-0.05</v>
      </c>
      <c r="F334" s="115">
        <v>-0.05</v>
      </c>
      <c r="G334" s="115">
        <v>-0.05</v>
      </c>
      <c r="H334" s="115">
        <v>-0.05</v>
      </c>
      <c r="I334" s="56">
        <v>-0.05</v>
      </c>
    </row>
    <row r="335" spans="1:11" x14ac:dyDescent="0.3">
      <c r="A335" s="33" t="s">
        <v>38</v>
      </c>
      <c r="B335" s="33" t="s">
        <v>36</v>
      </c>
      <c r="C335" s="55">
        <v>-0.05</v>
      </c>
      <c r="D335" s="115">
        <v>-0.05</v>
      </c>
      <c r="E335" s="115">
        <v>-0.05</v>
      </c>
      <c r="F335" s="115">
        <v>-0.05</v>
      </c>
      <c r="G335" s="115">
        <v>-0.05</v>
      </c>
      <c r="H335" s="115">
        <v>-0.05</v>
      </c>
      <c r="I335" s="56">
        <v>-0.05</v>
      </c>
    </row>
    <row r="336" spans="1:11" x14ac:dyDescent="0.3">
      <c r="A336" s="33" t="s">
        <v>38</v>
      </c>
      <c r="B336" s="33" t="s">
        <v>37</v>
      </c>
      <c r="C336" s="55">
        <v>-0.05</v>
      </c>
      <c r="D336" s="115">
        <v>-0.05</v>
      </c>
      <c r="E336" s="115">
        <v>-0.05</v>
      </c>
      <c r="F336" s="115">
        <v>-0.05</v>
      </c>
      <c r="G336" s="115">
        <v>-0.05</v>
      </c>
      <c r="H336" s="115">
        <v>-0.05</v>
      </c>
      <c r="I336" s="56">
        <v>-0.05</v>
      </c>
    </row>
    <row r="337" spans="1:11" ht="16.2" thickBot="1" x14ac:dyDescent="0.35">
      <c r="A337" s="39" t="s">
        <v>38</v>
      </c>
      <c r="B337" s="39" t="s">
        <v>38</v>
      </c>
      <c r="C337" s="58">
        <v>0.75</v>
      </c>
      <c r="D337" s="116">
        <v>0.75</v>
      </c>
      <c r="E337" s="116">
        <v>0.75</v>
      </c>
      <c r="F337" s="116">
        <v>0.75</v>
      </c>
      <c r="G337" s="116">
        <v>0.75</v>
      </c>
      <c r="H337" s="116">
        <v>0.75</v>
      </c>
      <c r="I337" s="59">
        <v>0.75</v>
      </c>
    </row>
    <row r="338" spans="1:11" x14ac:dyDescent="0.3">
      <c r="A338" s="5" t="s">
        <v>64</v>
      </c>
    </row>
    <row r="339" spans="1:11" ht="16.2" thickBot="1" x14ac:dyDescent="0.35">
      <c r="A339" s="4" t="s">
        <v>65</v>
      </c>
    </row>
    <row r="340" spans="1:11" ht="16.2" thickBot="1" x14ac:dyDescent="0.35">
      <c r="A340" s="42"/>
      <c r="B340" s="31" t="s">
        <v>27</v>
      </c>
      <c r="K340" s="99" t="s">
        <v>122</v>
      </c>
    </row>
    <row r="341" spans="1:11" x14ac:dyDescent="0.3">
      <c r="A341" s="33" t="s">
        <v>36</v>
      </c>
      <c r="B341" s="56">
        <v>-0.03</v>
      </c>
    </row>
    <row r="342" spans="1:11" x14ac:dyDescent="0.3">
      <c r="A342" s="33" t="s">
        <v>37</v>
      </c>
      <c r="B342" s="56">
        <v>-0.04</v>
      </c>
    </row>
    <row r="343" spans="1:11" ht="16.2" thickBot="1" x14ac:dyDescent="0.35">
      <c r="A343" s="39" t="s">
        <v>38</v>
      </c>
      <c r="B343" s="59">
        <v>-0.05</v>
      </c>
    </row>
    <row r="345" spans="1:11" ht="16.2" thickBot="1" x14ac:dyDescent="0.35">
      <c r="A345" s="4" t="s">
        <v>66</v>
      </c>
    </row>
    <row r="346" spans="1:11" ht="16.2" thickBot="1" x14ac:dyDescent="0.35">
      <c r="A346" s="29"/>
      <c r="B346" s="30"/>
      <c r="C346" s="50" t="s">
        <v>25</v>
      </c>
      <c r="D346" s="42" t="s">
        <v>26</v>
      </c>
      <c r="K346" s="99" t="s">
        <v>123</v>
      </c>
    </row>
    <row r="347" spans="1:11" x14ac:dyDescent="0.3">
      <c r="A347" s="43" t="s">
        <v>27</v>
      </c>
      <c r="B347" s="43" t="s">
        <v>28</v>
      </c>
      <c r="C347" s="52">
        <v>0.46700000000000003</v>
      </c>
      <c r="D347" s="53">
        <v>-1.417</v>
      </c>
    </row>
    <row r="348" spans="1:11" x14ac:dyDescent="0.3">
      <c r="A348" s="33" t="s">
        <v>36</v>
      </c>
      <c r="B348" s="33" t="s">
        <v>28</v>
      </c>
      <c r="C348" s="55">
        <v>0.98599999999999999</v>
      </c>
      <c r="D348" s="56">
        <v>1.3360000000000001</v>
      </c>
    </row>
    <row r="349" spans="1:11" x14ac:dyDescent="0.3">
      <c r="A349" s="33" t="s">
        <v>37</v>
      </c>
      <c r="B349" s="33" t="s">
        <v>28</v>
      </c>
      <c r="C349" s="55">
        <v>1.095</v>
      </c>
      <c r="D349" s="56">
        <v>1.47</v>
      </c>
    </row>
    <row r="350" spans="1:11" ht="16.2" thickBot="1" x14ac:dyDescent="0.35">
      <c r="A350" s="39" t="s">
        <v>38</v>
      </c>
      <c r="B350" s="39" t="s">
        <v>28</v>
      </c>
      <c r="C350" s="58">
        <v>1.2050000000000001</v>
      </c>
      <c r="D350" s="59">
        <v>1.617</v>
      </c>
    </row>
    <row r="351" spans="1:11" x14ac:dyDescent="0.3">
      <c r="A351" s="43" t="s">
        <v>27</v>
      </c>
      <c r="B351" s="43" t="s">
        <v>29</v>
      </c>
      <c r="C351" s="52">
        <v>0.99099999999999999</v>
      </c>
      <c r="D351" s="53">
        <v>0.96699999999999997</v>
      </c>
    </row>
    <row r="352" spans="1:11" x14ac:dyDescent="0.3">
      <c r="A352" s="33" t="s">
        <v>36</v>
      </c>
      <c r="B352" s="33" t="s">
        <v>29</v>
      </c>
      <c r="C352" s="55">
        <v>0.79800000000000004</v>
      </c>
      <c r="D352" s="56">
        <v>1.2849999999999999</v>
      </c>
    </row>
    <row r="353" spans="1:4" x14ac:dyDescent="0.3">
      <c r="A353" s="33" t="s">
        <v>37</v>
      </c>
      <c r="B353" s="33" t="s">
        <v>29</v>
      </c>
      <c r="C353" s="55">
        <v>0.88700000000000001</v>
      </c>
      <c r="D353" s="56">
        <v>1.4139999999999999</v>
      </c>
    </row>
    <row r="354" spans="1:4" ht="16.2" thickBot="1" x14ac:dyDescent="0.35">
      <c r="A354" s="39" t="s">
        <v>38</v>
      </c>
      <c r="B354" s="39" t="s">
        <v>29</v>
      </c>
      <c r="C354" s="58">
        <v>0.97599999999999998</v>
      </c>
      <c r="D354" s="59">
        <v>1.5549999999999999</v>
      </c>
    </row>
    <row r="355" spans="1:4" x14ac:dyDescent="0.3">
      <c r="A355" s="43" t="s">
        <v>27</v>
      </c>
      <c r="B355" s="43" t="s">
        <v>30</v>
      </c>
      <c r="C355" s="52">
        <v>1.006</v>
      </c>
      <c r="D355" s="53">
        <v>0.27100000000000002</v>
      </c>
    </row>
    <row r="356" spans="1:4" x14ac:dyDescent="0.3">
      <c r="A356" s="33" t="s">
        <v>36</v>
      </c>
      <c r="B356" s="33" t="s">
        <v>30</v>
      </c>
      <c r="C356" s="55">
        <v>1.1619999999999999</v>
      </c>
      <c r="D356" s="56">
        <v>1.4370000000000001</v>
      </c>
    </row>
    <row r="357" spans="1:4" x14ac:dyDescent="0.3">
      <c r="A357" s="33" t="s">
        <v>37</v>
      </c>
      <c r="B357" s="33" t="s">
        <v>30</v>
      </c>
      <c r="C357" s="55">
        <v>1.2909999999999999</v>
      </c>
      <c r="D357" s="56">
        <v>1.581</v>
      </c>
    </row>
    <row r="358" spans="1:4" ht="16.2" thickBot="1" x14ac:dyDescent="0.35">
      <c r="A358" s="39" t="s">
        <v>38</v>
      </c>
      <c r="B358" s="39" t="s">
        <v>30</v>
      </c>
      <c r="C358" s="58">
        <v>1.42</v>
      </c>
      <c r="D358" s="59">
        <v>1.7390000000000001</v>
      </c>
    </row>
    <row r="359" spans="1:4" x14ac:dyDescent="0.3">
      <c r="A359" s="43" t="s">
        <v>27</v>
      </c>
      <c r="B359" s="43" t="s">
        <v>31</v>
      </c>
      <c r="C359" s="52">
        <v>0.65700000000000003</v>
      </c>
      <c r="D359" s="53">
        <v>-0.14000000000000001</v>
      </c>
    </row>
    <row r="360" spans="1:4" x14ac:dyDescent="0.3">
      <c r="A360" s="33" t="s">
        <v>36</v>
      </c>
      <c r="B360" s="33" t="s">
        <v>31</v>
      </c>
      <c r="C360" s="55">
        <v>1.0129999999999999</v>
      </c>
      <c r="D360" s="56">
        <v>1.3620000000000001</v>
      </c>
    </row>
    <row r="361" spans="1:4" x14ac:dyDescent="0.3">
      <c r="A361" s="33" t="s">
        <v>37</v>
      </c>
      <c r="B361" s="33" t="s">
        <v>31</v>
      </c>
      <c r="C361" s="55">
        <v>1.125</v>
      </c>
      <c r="D361" s="56">
        <v>1.498</v>
      </c>
    </row>
    <row r="362" spans="1:4" ht="16.2" thickBot="1" x14ac:dyDescent="0.35">
      <c r="A362" s="39" t="s">
        <v>38</v>
      </c>
      <c r="B362" s="39" t="s">
        <v>31</v>
      </c>
      <c r="C362" s="58">
        <v>1.238</v>
      </c>
      <c r="D362" s="59">
        <v>1.6479999999999999</v>
      </c>
    </row>
    <row r="363" spans="1:4" x14ac:dyDescent="0.3">
      <c r="A363" s="43" t="s">
        <v>27</v>
      </c>
      <c r="B363" s="43" t="s">
        <v>32</v>
      </c>
      <c r="C363" s="52">
        <v>0.63900000000000001</v>
      </c>
      <c r="D363" s="53">
        <v>0.33400000000000002</v>
      </c>
    </row>
    <row r="364" spans="1:4" x14ac:dyDescent="0.3">
      <c r="A364" s="33" t="s">
        <v>36</v>
      </c>
      <c r="B364" s="33" t="s">
        <v>32</v>
      </c>
      <c r="C364" s="55">
        <v>1.1399999999999999</v>
      </c>
      <c r="D364" s="56">
        <v>1.462</v>
      </c>
    </row>
    <row r="365" spans="1:4" x14ac:dyDescent="0.3">
      <c r="A365" s="33" t="s">
        <v>37</v>
      </c>
      <c r="B365" s="33" t="s">
        <v>32</v>
      </c>
      <c r="C365" s="55">
        <v>1.2669999999999999</v>
      </c>
      <c r="D365" s="56">
        <v>1.6080000000000001</v>
      </c>
    </row>
    <row r="366" spans="1:4" ht="16.2" thickBot="1" x14ac:dyDescent="0.35">
      <c r="A366" s="39" t="s">
        <v>38</v>
      </c>
      <c r="B366" s="39" t="s">
        <v>32</v>
      </c>
      <c r="C366" s="58">
        <v>1.3939999999999999</v>
      </c>
      <c r="D366" s="59">
        <v>1.7689999999999999</v>
      </c>
    </row>
    <row r="367" spans="1:4" x14ac:dyDescent="0.3">
      <c r="A367" s="43" t="s">
        <v>27</v>
      </c>
      <c r="B367" s="43" t="s">
        <v>33</v>
      </c>
      <c r="C367" s="52">
        <v>0.71599999999999997</v>
      </c>
      <c r="D367" s="53">
        <v>-0.62</v>
      </c>
    </row>
    <row r="368" spans="1:4" x14ac:dyDescent="0.3">
      <c r="A368" s="33" t="s">
        <v>36</v>
      </c>
      <c r="B368" s="33" t="s">
        <v>33</v>
      </c>
      <c r="C368" s="55">
        <v>0.96299999999999997</v>
      </c>
      <c r="D368" s="56">
        <v>1.2509999999999999</v>
      </c>
    </row>
    <row r="369" spans="1:11" x14ac:dyDescent="0.3">
      <c r="A369" s="33" t="s">
        <v>37</v>
      </c>
      <c r="B369" s="33" t="s">
        <v>33</v>
      </c>
      <c r="C369" s="55">
        <v>1.07</v>
      </c>
      <c r="D369" s="56">
        <v>1.3759999999999999</v>
      </c>
    </row>
    <row r="370" spans="1:11" ht="16.2" thickBot="1" x14ac:dyDescent="0.35">
      <c r="A370" s="39" t="s">
        <v>38</v>
      </c>
      <c r="B370" s="39" t="s">
        <v>33</v>
      </c>
      <c r="C370" s="58">
        <v>1.177</v>
      </c>
      <c r="D370" s="59">
        <v>1.514</v>
      </c>
    </row>
    <row r="371" spans="1:11" x14ac:dyDescent="0.3">
      <c r="A371" s="43" t="s">
        <v>27</v>
      </c>
      <c r="B371" s="43" t="s">
        <v>34</v>
      </c>
      <c r="C371" s="52">
        <v>1.1120000000000001</v>
      </c>
      <c r="D371" s="53">
        <v>0.91400000000000003</v>
      </c>
    </row>
    <row r="372" spans="1:11" x14ac:dyDescent="0.3">
      <c r="A372" s="33" t="s">
        <v>36</v>
      </c>
      <c r="B372" s="33" t="s">
        <v>34</v>
      </c>
      <c r="C372" s="55">
        <v>1.1279999999999999</v>
      </c>
      <c r="D372" s="56">
        <v>1.51</v>
      </c>
    </row>
    <row r="373" spans="1:11" x14ac:dyDescent="0.3">
      <c r="A373" s="33" t="s">
        <v>37</v>
      </c>
      <c r="B373" s="33" t="s">
        <v>34</v>
      </c>
      <c r="C373" s="55">
        <v>1.2529999999999999</v>
      </c>
      <c r="D373" s="56">
        <v>1.661</v>
      </c>
    </row>
    <row r="374" spans="1:11" ht="16.2" thickBot="1" x14ac:dyDescent="0.35">
      <c r="A374" s="39" t="s">
        <v>38</v>
      </c>
      <c r="B374" s="39" t="s">
        <v>34</v>
      </c>
      <c r="C374" s="58">
        <v>1.3779999999999999</v>
      </c>
      <c r="D374" s="59">
        <v>1.827</v>
      </c>
    </row>
    <row r="375" spans="1:11" x14ac:dyDescent="0.3">
      <c r="A375" s="5" t="s">
        <v>67</v>
      </c>
    </row>
    <row r="376" spans="1:11" ht="16.2" thickBot="1" x14ac:dyDescent="0.35">
      <c r="A376" s="4" t="s">
        <v>68</v>
      </c>
    </row>
    <row r="377" spans="1:11" ht="16.2" thickBot="1" x14ac:dyDescent="0.35">
      <c r="A377" s="67"/>
      <c r="B377" s="71"/>
      <c r="C377" s="51"/>
      <c r="D377" s="121" t="s">
        <v>25</v>
      </c>
      <c r="E377" s="122" t="s">
        <v>26</v>
      </c>
      <c r="K377" s="99" t="s">
        <v>169</v>
      </c>
    </row>
    <row r="378" spans="1:11" x14ac:dyDescent="0.3">
      <c r="A378" s="43" t="s">
        <v>27</v>
      </c>
      <c r="B378" s="51" t="s">
        <v>27</v>
      </c>
      <c r="C378" s="51" t="s">
        <v>28</v>
      </c>
      <c r="D378" s="123">
        <v>-0.222</v>
      </c>
      <c r="E378" s="53">
        <v>-0.84099999999999997</v>
      </c>
    </row>
    <row r="379" spans="1:11" x14ac:dyDescent="0.3">
      <c r="A379" s="33" t="s">
        <v>27</v>
      </c>
      <c r="B379" s="54" t="s">
        <v>36</v>
      </c>
      <c r="C379" s="54" t="s">
        <v>28</v>
      </c>
      <c r="D379" s="115">
        <v>1.0529999999999999</v>
      </c>
      <c r="E379" s="56">
        <v>0.26500000000000001</v>
      </c>
    </row>
    <row r="380" spans="1:11" x14ac:dyDescent="0.3">
      <c r="A380" s="33" t="s">
        <v>27</v>
      </c>
      <c r="B380" s="54" t="s">
        <v>37</v>
      </c>
      <c r="C380" s="54" t="s">
        <v>28</v>
      </c>
      <c r="D380" s="115">
        <v>1.0529999999999999</v>
      </c>
      <c r="E380" s="56">
        <v>0.26500000000000001</v>
      </c>
    </row>
    <row r="381" spans="1:11" x14ac:dyDescent="0.3">
      <c r="A381" s="33" t="s">
        <v>27</v>
      </c>
      <c r="B381" s="54" t="s">
        <v>38</v>
      </c>
      <c r="C381" s="54" t="s">
        <v>28</v>
      </c>
      <c r="D381" s="115">
        <v>1.0529999999999999</v>
      </c>
      <c r="E381" s="56">
        <v>0.26500000000000001</v>
      </c>
    </row>
    <row r="382" spans="1:11" x14ac:dyDescent="0.3">
      <c r="A382" s="33" t="s">
        <v>36</v>
      </c>
      <c r="B382" s="54" t="s">
        <v>27</v>
      </c>
      <c r="C382" s="54" t="s">
        <v>28</v>
      </c>
      <c r="D382" s="115">
        <v>1.2999999999999999E-2</v>
      </c>
      <c r="E382" s="56">
        <v>-1.4E-2</v>
      </c>
    </row>
    <row r="383" spans="1:11" x14ac:dyDescent="0.3">
      <c r="A383" s="33" t="s">
        <v>36</v>
      </c>
      <c r="B383" s="54" t="s">
        <v>36</v>
      </c>
      <c r="C383" s="54" t="s">
        <v>28</v>
      </c>
      <c r="D383" s="115">
        <v>-0.67800000000000005</v>
      </c>
      <c r="E383" s="56">
        <v>-0.72699999999999998</v>
      </c>
    </row>
    <row r="384" spans="1:11" x14ac:dyDescent="0.3">
      <c r="A384" s="33" t="s">
        <v>36</v>
      </c>
      <c r="B384" s="54" t="s">
        <v>37</v>
      </c>
      <c r="C384" s="54" t="s">
        <v>28</v>
      </c>
      <c r="D384" s="115">
        <v>6.8000000000000005E-2</v>
      </c>
      <c r="E384" s="56">
        <v>7.2999999999999995E-2</v>
      </c>
    </row>
    <row r="385" spans="1:5" x14ac:dyDescent="0.3">
      <c r="A385" s="33" t="s">
        <v>36</v>
      </c>
      <c r="B385" s="54" t="s">
        <v>38</v>
      </c>
      <c r="C385" s="54" t="s">
        <v>28</v>
      </c>
      <c r="D385" s="115">
        <v>7.1999999999999995E-2</v>
      </c>
      <c r="E385" s="56">
        <v>7.5999999999999998E-2</v>
      </c>
    </row>
    <row r="386" spans="1:5" x14ac:dyDescent="0.3">
      <c r="A386" s="33" t="s">
        <v>37</v>
      </c>
      <c r="B386" s="54" t="s">
        <v>27</v>
      </c>
      <c r="C386" s="54" t="s">
        <v>28</v>
      </c>
      <c r="D386" s="115">
        <v>1.2999999999999999E-2</v>
      </c>
      <c r="E386" s="56">
        <v>-1.4E-2</v>
      </c>
    </row>
    <row r="387" spans="1:5" x14ac:dyDescent="0.3">
      <c r="A387" s="33" t="s">
        <v>37</v>
      </c>
      <c r="B387" s="54" t="s">
        <v>36</v>
      </c>
      <c r="C387" s="54" t="s">
        <v>28</v>
      </c>
      <c r="D387" s="115">
        <v>6.8000000000000005E-2</v>
      </c>
      <c r="E387" s="56">
        <v>7.2999999999999995E-2</v>
      </c>
    </row>
    <row r="388" spans="1:5" x14ac:dyDescent="0.3">
      <c r="A388" s="33" t="s">
        <v>37</v>
      </c>
      <c r="B388" s="54" t="s">
        <v>37</v>
      </c>
      <c r="C388" s="54" t="s">
        <v>28</v>
      </c>
      <c r="D388" s="115">
        <v>-0.753</v>
      </c>
      <c r="E388" s="56">
        <v>-0.8</v>
      </c>
    </row>
    <row r="389" spans="1:5" x14ac:dyDescent="0.3">
      <c r="A389" s="33" t="s">
        <v>37</v>
      </c>
      <c r="B389" s="54" t="s">
        <v>38</v>
      </c>
      <c r="C389" s="54" t="s">
        <v>28</v>
      </c>
      <c r="D389" s="115">
        <v>7.4999999999999997E-2</v>
      </c>
      <c r="E389" s="56">
        <v>0.08</v>
      </c>
    </row>
    <row r="390" spans="1:5" x14ac:dyDescent="0.3">
      <c r="A390" s="33" t="s">
        <v>38</v>
      </c>
      <c r="B390" s="54" t="s">
        <v>27</v>
      </c>
      <c r="C390" s="54" t="s">
        <v>28</v>
      </c>
      <c r="D390" s="115">
        <v>1.2999999999999999E-2</v>
      </c>
      <c r="E390" s="56">
        <v>-1.4E-2</v>
      </c>
    </row>
    <row r="391" spans="1:5" x14ac:dyDescent="0.3">
      <c r="A391" s="33" t="s">
        <v>38</v>
      </c>
      <c r="B391" s="54" t="s">
        <v>36</v>
      </c>
      <c r="C391" s="54" t="s">
        <v>28</v>
      </c>
      <c r="D391" s="115">
        <v>7.1999999999999995E-2</v>
      </c>
      <c r="E391" s="56">
        <v>7.5999999999999998E-2</v>
      </c>
    </row>
    <row r="392" spans="1:5" x14ac:dyDescent="0.3">
      <c r="A392" s="33" t="s">
        <v>38</v>
      </c>
      <c r="B392" s="54" t="s">
        <v>37</v>
      </c>
      <c r="C392" s="54" t="s">
        <v>28</v>
      </c>
      <c r="D392" s="115">
        <v>7.4999999999999997E-2</v>
      </c>
      <c r="E392" s="56">
        <v>0.08</v>
      </c>
    </row>
    <row r="393" spans="1:5" ht="16.2" thickBot="1" x14ac:dyDescent="0.35">
      <c r="A393" s="39" t="s">
        <v>38</v>
      </c>
      <c r="B393" s="57" t="s">
        <v>38</v>
      </c>
      <c r="C393" s="57" t="s">
        <v>28</v>
      </c>
      <c r="D393" s="116">
        <v>-0.82899999999999996</v>
      </c>
      <c r="E393" s="59">
        <v>-0.88</v>
      </c>
    </row>
    <row r="394" spans="1:5" x14ac:dyDescent="0.3">
      <c r="A394" s="43" t="s">
        <v>27</v>
      </c>
      <c r="B394" s="51" t="s">
        <v>27</v>
      </c>
      <c r="C394" s="51" t="s">
        <v>29</v>
      </c>
      <c r="D394" s="123">
        <v>-0.56599999999999995</v>
      </c>
      <c r="E394" s="53">
        <v>-0.48</v>
      </c>
    </row>
    <row r="395" spans="1:5" x14ac:dyDescent="0.3">
      <c r="A395" s="33" t="s">
        <v>27</v>
      </c>
      <c r="B395" s="54" t="s">
        <v>36</v>
      </c>
      <c r="C395" s="54" t="s">
        <v>29</v>
      </c>
      <c r="D395" s="115">
        <v>-0.19500000000000001</v>
      </c>
      <c r="E395" s="56">
        <v>-0.42199999999999999</v>
      </c>
    </row>
    <row r="396" spans="1:5" x14ac:dyDescent="0.3">
      <c r="A396" s="33" t="s">
        <v>27</v>
      </c>
      <c r="B396" s="54" t="s">
        <v>37</v>
      </c>
      <c r="C396" s="54" t="s">
        <v>29</v>
      </c>
      <c r="D396" s="115">
        <v>-0.19500000000000001</v>
      </c>
      <c r="E396" s="56">
        <v>-0.42199999999999999</v>
      </c>
    </row>
    <row r="397" spans="1:5" x14ac:dyDescent="0.3">
      <c r="A397" s="33" t="s">
        <v>27</v>
      </c>
      <c r="B397" s="54" t="s">
        <v>38</v>
      </c>
      <c r="C397" s="54" t="s">
        <v>29</v>
      </c>
      <c r="D397" s="115">
        <v>-0.19500000000000001</v>
      </c>
      <c r="E397" s="56">
        <v>-0.42199999999999999</v>
      </c>
    </row>
    <row r="398" spans="1:5" x14ac:dyDescent="0.3">
      <c r="A398" s="33" t="s">
        <v>36</v>
      </c>
      <c r="B398" s="54" t="s">
        <v>27</v>
      </c>
      <c r="C398" s="54" t="s">
        <v>29</v>
      </c>
      <c r="D398" s="115">
        <v>-2E-3</v>
      </c>
      <c r="E398" s="56">
        <v>-5.0000000000000001E-3</v>
      </c>
    </row>
    <row r="399" spans="1:5" x14ac:dyDescent="0.3">
      <c r="A399" s="33" t="s">
        <v>36</v>
      </c>
      <c r="B399" s="54" t="s">
        <v>36</v>
      </c>
      <c r="C399" s="54" t="s">
        <v>29</v>
      </c>
      <c r="D399" s="115">
        <v>-0.57899999999999996</v>
      </c>
      <c r="E399" s="56">
        <v>-0.73199999999999998</v>
      </c>
    </row>
    <row r="400" spans="1:5" x14ac:dyDescent="0.3">
      <c r="A400" s="33" t="s">
        <v>36</v>
      </c>
      <c r="B400" s="54" t="s">
        <v>37</v>
      </c>
      <c r="C400" s="54" t="s">
        <v>29</v>
      </c>
      <c r="D400" s="115">
        <v>5.8000000000000003E-2</v>
      </c>
      <c r="E400" s="56">
        <v>7.2999999999999995E-2</v>
      </c>
    </row>
    <row r="401" spans="1:5" x14ac:dyDescent="0.3">
      <c r="A401" s="33" t="s">
        <v>36</v>
      </c>
      <c r="B401" s="54" t="s">
        <v>38</v>
      </c>
      <c r="C401" s="54" t="s">
        <v>29</v>
      </c>
      <c r="D401" s="115">
        <v>6.0999999999999999E-2</v>
      </c>
      <c r="E401" s="56">
        <v>7.6999999999999999E-2</v>
      </c>
    </row>
    <row r="402" spans="1:5" x14ac:dyDescent="0.3">
      <c r="A402" s="33" t="s">
        <v>37</v>
      </c>
      <c r="B402" s="54" t="s">
        <v>27</v>
      </c>
      <c r="C402" s="54" t="s">
        <v>29</v>
      </c>
      <c r="D402" s="115">
        <v>-2E-3</v>
      </c>
      <c r="E402" s="56">
        <v>-5.0000000000000001E-3</v>
      </c>
    </row>
    <row r="403" spans="1:5" x14ac:dyDescent="0.3">
      <c r="A403" s="33" t="s">
        <v>37</v>
      </c>
      <c r="B403" s="54" t="s">
        <v>36</v>
      </c>
      <c r="C403" s="54" t="s">
        <v>29</v>
      </c>
      <c r="D403" s="115">
        <v>5.8000000000000003E-2</v>
      </c>
      <c r="E403" s="56">
        <v>7.2999999999999995E-2</v>
      </c>
    </row>
    <row r="404" spans="1:5" x14ac:dyDescent="0.3">
      <c r="A404" s="33" t="s">
        <v>37</v>
      </c>
      <c r="B404" s="54" t="s">
        <v>37</v>
      </c>
      <c r="C404" s="54" t="s">
        <v>29</v>
      </c>
      <c r="D404" s="115">
        <v>-0.64300000000000002</v>
      </c>
      <c r="E404" s="56">
        <v>-0.80500000000000005</v>
      </c>
    </row>
    <row r="405" spans="1:5" x14ac:dyDescent="0.3">
      <c r="A405" s="33" t="s">
        <v>37</v>
      </c>
      <c r="B405" s="54" t="s">
        <v>38</v>
      </c>
      <c r="C405" s="54" t="s">
        <v>29</v>
      </c>
      <c r="D405" s="115">
        <v>6.4000000000000001E-2</v>
      </c>
      <c r="E405" s="56">
        <v>0.08</v>
      </c>
    </row>
    <row r="406" spans="1:5" x14ac:dyDescent="0.3">
      <c r="A406" s="33" t="s">
        <v>38</v>
      </c>
      <c r="B406" s="54" t="s">
        <v>27</v>
      </c>
      <c r="C406" s="54" t="s">
        <v>29</v>
      </c>
      <c r="D406" s="115">
        <v>-2E-3</v>
      </c>
      <c r="E406" s="56">
        <v>-5.0000000000000001E-3</v>
      </c>
    </row>
    <row r="407" spans="1:5" x14ac:dyDescent="0.3">
      <c r="A407" s="33" t="s">
        <v>38</v>
      </c>
      <c r="B407" s="54" t="s">
        <v>36</v>
      </c>
      <c r="C407" s="54" t="s">
        <v>29</v>
      </c>
      <c r="D407" s="115">
        <v>6.0999999999999999E-2</v>
      </c>
      <c r="E407" s="56">
        <v>7.6999999999999999E-2</v>
      </c>
    </row>
    <row r="408" spans="1:5" x14ac:dyDescent="0.3">
      <c r="A408" s="33" t="s">
        <v>38</v>
      </c>
      <c r="B408" s="54" t="s">
        <v>37</v>
      </c>
      <c r="C408" s="54" t="s">
        <v>29</v>
      </c>
      <c r="D408" s="115">
        <v>6.4000000000000001E-2</v>
      </c>
      <c r="E408" s="56">
        <v>0.08</v>
      </c>
    </row>
    <row r="409" spans="1:5" ht="16.2" thickBot="1" x14ac:dyDescent="0.35">
      <c r="A409" s="39" t="s">
        <v>38</v>
      </c>
      <c r="B409" s="57" t="s">
        <v>38</v>
      </c>
      <c r="C409" s="57" t="s">
        <v>29</v>
      </c>
      <c r="D409" s="116">
        <v>-0.70699999999999996</v>
      </c>
      <c r="E409" s="59">
        <v>-0.88500000000000001</v>
      </c>
    </row>
    <row r="410" spans="1:5" x14ac:dyDescent="0.3">
      <c r="A410" s="43" t="s">
        <v>27</v>
      </c>
      <c r="B410" s="51" t="s">
        <v>27</v>
      </c>
      <c r="C410" s="51" t="s">
        <v>30</v>
      </c>
      <c r="D410" s="123">
        <v>-0.46600000000000003</v>
      </c>
      <c r="E410" s="53">
        <v>-0.88900000000000001</v>
      </c>
    </row>
    <row r="411" spans="1:5" x14ac:dyDescent="0.3">
      <c r="A411" s="33" t="s">
        <v>27</v>
      </c>
      <c r="B411" s="54" t="s">
        <v>36</v>
      </c>
      <c r="C411" s="54" t="s">
        <v>30</v>
      </c>
      <c r="D411" s="115">
        <v>0.159</v>
      </c>
      <c r="E411" s="56">
        <v>0.52400000000000002</v>
      </c>
    </row>
    <row r="412" spans="1:5" x14ac:dyDescent="0.3">
      <c r="A412" s="33" t="s">
        <v>27</v>
      </c>
      <c r="B412" s="54" t="s">
        <v>37</v>
      </c>
      <c r="C412" s="54" t="s">
        <v>30</v>
      </c>
      <c r="D412" s="115">
        <v>0.159</v>
      </c>
      <c r="E412" s="56">
        <v>0.52400000000000002</v>
      </c>
    </row>
    <row r="413" spans="1:5" x14ac:dyDescent="0.3">
      <c r="A413" s="33" t="s">
        <v>27</v>
      </c>
      <c r="B413" s="54" t="s">
        <v>38</v>
      </c>
      <c r="C413" s="54" t="s">
        <v>30</v>
      </c>
      <c r="D413" s="115">
        <v>0.159</v>
      </c>
      <c r="E413" s="56">
        <v>0.52400000000000002</v>
      </c>
    </row>
    <row r="414" spans="1:5" x14ac:dyDescent="0.3">
      <c r="A414" s="33" t="s">
        <v>36</v>
      </c>
      <c r="B414" s="54" t="s">
        <v>27</v>
      </c>
      <c r="C414" s="54" t="s">
        <v>30</v>
      </c>
      <c r="D414" s="115">
        <v>2E-3</v>
      </c>
      <c r="E414" s="56">
        <v>8.0000000000000002E-3</v>
      </c>
    </row>
    <row r="415" spans="1:5" x14ac:dyDescent="0.3">
      <c r="A415" s="33" t="s">
        <v>36</v>
      </c>
      <c r="B415" s="54" t="s">
        <v>36</v>
      </c>
      <c r="C415" s="54" t="s">
        <v>30</v>
      </c>
      <c r="D415" s="115">
        <v>-0.65500000000000003</v>
      </c>
      <c r="E415" s="56">
        <v>-0.86499999999999999</v>
      </c>
    </row>
    <row r="416" spans="1:5" x14ac:dyDescent="0.3">
      <c r="A416" s="33" t="s">
        <v>36</v>
      </c>
      <c r="B416" s="54" t="s">
        <v>37</v>
      </c>
      <c r="C416" s="54" t="s">
        <v>30</v>
      </c>
      <c r="D416" s="115">
        <v>6.5000000000000002E-2</v>
      </c>
      <c r="E416" s="56">
        <v>8.6999999999999994E-2</v>
      </c>
    </row>
    <row r="417" spans="1:5" x14ac:dyDescent="0.3">
      <c r="A417" s="33" t="s">
        <v>36</v>
      </c>
      <c r="B417" s="54" t="s">
        <v>38</v>
      </c>
      <c r="C417" s="54" t="s">
        <v>30</v>
      </c>
      <c r="D417" s="115">
        <v>6.9000000000000006E-2</v>
      </c>
      <c r="E417" s="56">
        <v>9.0999999999999998E-2</v>
      </c>
    </row>
    <row r="418" spans="1:5" x14ac:dyDescent="0.3">
      <c r="A418" s="33" t="s">
        <v>37</v>
      </c>
      <c r="B418" s="54" t="s">
        <v>27</v>
      </c>
      <c r="C418" s="54" t="s">
        <v>30</v>
      </c>
      <c r="D418" s="115">
        <v>2E-3</v>
      </c>
      <c r="E418" s="56">
        <v>8.0000000000000002E-3</v>
      </c>
    </row>
    <row r="419" spans="1:5" x14ac:dyDescent="0.3">
      <c r="A419" s="33" t="s">
        <v>37</v>
      </c>
      <c r="B419" s="54" t="s">
        <v>36</v>
      </c>
      <c r="C419" s="54" t="s">
        <v>30</v>
      </c>
      <c r="D419" s="115">
        <v>6.5000000000000002E-2</v>
      </c>
      <c r="E419" s="56">
        <v>8.6999999999999994E-2</v>
      </c>
    </row>
    <row r="420" spans="1:5" x14ac:dyDescent="0.3">
      <c r="A420" s="33" t="s">
        <v>37</v>
      </c>
      <c r="B420" s="54" t="s">
        <v>37</v>
      </c>
      <c r="C420" s="54" t="s">
        <v>30</v>
      </c>
      <c r="D420" s="115">
        <v>-0.72699999999999998</v>
      </c>
      <c r="E420" s="56">
        <v>-0.95199999999999996</v>
      </c>
    </row>
    <row r="421" spans="1:5" x14ac:dyDescent="0.3">
      <c r="A421" s="33" t="s">
        <v>37</v>
      </c>
      <c r="B421" s="54" t="s">
        <v>38</v>
      </c>
      <c r="C421" s="54" t="s">
        <v>30</v>
      </c>
      <c r="D421" s="115">
        <v>7.2999999999999995E-2</v>
      </c>
      <c r="E421" s="56">
        <v>9.5000000000000001E-2</v>
      </c>
    </row>
    <row r="422" spans="1:5" x14ac:dyDescent="0.3">
      <c r="A422" s="33" t="s">
        <v>38</v>
      </c>
      <c r="B422" s="54" t="s">
        <v>27</v>
      </c>
      <c r="C422" s="54" t="s">
        <v>30</v>
      </c>
      <c r="D422" s="115">
        <v>2E-3</v>
      </c>
      <c r="E422" s="56">
        <v>8.0000000000000002E-3</v>
      </c>
    </row>
    <row r="423" spans="1:5" x14ac:dyDescent="0.3">
      <c r="A423" s="33" t="s">
        <v>38</v>
      </c>
      <c r="B423" s="54" t="s">
        <v>36</v>
      </c>
      <c r="C423" s="54" t="s">
        <v>30</v>
      </c>
      <c r="D423" s="115">
        <v>6.9000000000000006E-2</v>
      </c>
      <c r="E423" s="56">
        <v>9.0999999999999998E-2</v>
      </c>
    </row>
    <row r="424" spans="1:5" x14ac:dyDescent="0.3">
      <c r="A424" s="33" t="s">
        <v>38</v>
      </c>
      <c r="B424" s="54" t="s">
        <v>37</v>
      </c>
      <c r="C424" s="54" t="s">
        <v>30</v>
      </c>
      <c r="D424" s="115">
        <v>7.2999999999999995E-2</v>
      </c>
      <c r="E424" s="56">
        <v>9.5000000000000001E-2</v>
      </c>
    </row>
    <row r="425" spans="1:5" ht="16.2" thickBot="1" x14ac:dyDescent="0.35">
      <c r="A425" s="39" t="s">
        <v>38</v>
      </c>
      <c r="B425" s="57" t="s">
        <v>38</v>
      </c>
      <c r="C425" s="57" t="s">
        <v>30</v>
      </c>
      <c r="D425" s="116">
        <v>-0.8</v>
      </c>
      <c r="E425" s="59">
        <v>-1.0469999999999999</v>
      </c>
    </row>
    <row r="426" spans="1:5" x14ac:dyDescent="0.3">
      <c r="A426" s="43" t="s">
        <v>27</v>
      </c>
      <c r="B426" s="51" t="s">
        <v>27</v>
      </c>
      <c r="C426" s="51" t="s">
        <v>31</v>
      </c>
      <c r="D426" s="123">
        <v>-0.83499999999999996</v>
      </c>
      <c r="E426" s="53">
        <v>-0.69899999999999995</v>
      </c>
    </row>
    <row r="427" spans="1:5" x14ac:dyDescent="0.3">
      <c r="A427" s="33" t="s">
        <v>27</v>
      </c>
      <c r="B427" s="54" t="s">
        <v>36</v>
      </c>
      <c r="C427" s="54" t="s">
        <v>31</v>
      </c>
      <c r="D427" s="115">
        <v>-0.57099999999999995</v>
      </c>
      <c r="E427" s="56">
        <v>0.504</v>
      </c>
    </row>
    <row r="428" spans="1:5" x14ac:dyDescent="0.3">
      <c r="A428" s="33" t="s">
        <v>27</v>
      </c>
      <c r="B428" s="54" t="s">
        <v>37</v>
      </c>
      <c r="C428" s="54" t="s">
        <v>31</v>
      </c>
      <c r="D428" s="115">
        <v>-0.57099999999999995</v>
      </c>
      <c r="E428" s="56">
        <v>0.504</v>
      </c>
    </row>
    <row r="429" spans="1:5" x14ac:dyDescent="0.3">
      <c r="A429" s="33" t="s">
        <v>27</v>
      </c>
      <c r="B429" s="54" t="s">
        <v>38</v>
      </c>
      <c r="C429" s="54" t="s">
        <v>31</v>
      </c>
      <c r="D429" s="115">
        <v>-0.57099999999999995</v>
      </c>
      <c r="E429" s="56">
        <v>0.504</v>
      </c>
    </row>
    <row r="430" spans="1:5" x14ac:dyDescent="0.3">
      <c r="A430" s="33" t="s">
        <v>36</v>
      </c>
      <c r="B430" s="54" t="s">
        <v>27</v>
      </c>
      <c r="C430" s="54" t="s">
        <v>31</v>
      </c>
      <c r="D430" s="115">
        <v>-6.0000000000000001E-3</v>
      </c>
      <c r="E430" s="56">
        <v>7.0000000000000001E-3</v>
      </c>
    </row>
    <row r="431" spans="1:5" x14ac:dyDescent="0.3">
      <c r="A431" s="33" t="s">
        <v>36</v>
      </c>
      <c r="B431" s="54" t="s">
        <v>36</v>
      </c>
      <c r="C431" s="54" t="s">
        <v>31</v>
      </c>
      <c r="D431" s="115">
        <v>-0.70099999999999996</v>
      </c>
      <c r="E431" s="56">
        <v>-0.747</v>
      </c>
    </row>
    <row r="432" spans="1:5" x14ac:dyDescent="0.3">
      <c r="A432" s="33" t="s">
        <v>36</v>
      </c>
      <c r="B432" s="54" t="s">
        <v>37</v>
      </c>
      <c r="C432" s="54" t="s">
        <v>31</v>
      </c>
      <c r="D432" s="115">
        <v>7.0000000000000007E-2</v>
      </c>
      <c r="E432" s="56">
        <v>7.4999999999999997E-2</v>
      </c>
    </row>
    <row r="433" spans="1:5" x14ac:dyDescent="0.3">
      <c r="A433" s="33" t="s">
        <v>36</v>
      </c>
      <c r="B433" s="54" t="s">
        <v>38</v>
      </c>
      <c r="C433" s="54" t="s">
        <v>31</v>
      </c>
      <c r="D433" s="115">
        <v>7.3999999999999996E-2</v>
      </c>
      <c r="E433" s="56">
        <v>7.8E-2</v>
      </c>
    </row>
    <row r="434" spans="1:5" x14ac:dyDescent="0.3">
      <c r="A434" s="33" t="s">
        <v>37</v>
      </c>
      <c r="B434" s="54" t="s">
        <v>27</v>
      </c>
      <c r="C434" s="54" t="s">
        <v>31</v>
      </c>
      <c r="D434" s="115">
        <v>-6.0000000000000001E-3</v>
      </c>
      <c r="E434" s="56">
        <v>7.0000000000000001E-3</v>
      </c>
    </row>
    <row r="435" spans="1:5" x14ac:dyDescent="0.3">
      <c r="A435" s="33" t="s">
        <v>37</v>
      </c>
      <c r="B435" s="54" t="s">
        <v>36</v>
      </c>
      <c r="C435" s="54" t="s">
        <v>31</v>
      </c>
      <c r="D435" s="115">
        <v>7.0000000000000007E-2</v>
      </c>
      <c r="E435" s="56">
        <v>7.4999999999999997E-2</v>
      </c>
    </row>
    <row r="436" spans="1:5" x14ac:dyDescent="0.3">
      <c r="A436" s="33" t="s">
        <v>37</v>
      </c>
      <c r="B436" s="54" t="s">
        <v>37</v>
      </c>
      <c r="C436" s="54" t="s">
        <v>31</v>
      </c>
      <c r="D436" s="115">
        <v>-0.77900000000000003</v>
      </c>
      <c r="E436" s="56">
        <v>-0.82199999999999995</v>
      </c>
    </row>
    <row r="437" spans="1:5" x14ac:dyDescent="0.3">
      <c r="A437" s="33" t="s">
        <v>37</v>
      </c>
      <c r="B437" s="54" t="s">
        <v>38</v>
      </c>
      <c r="C437" s="54" t="s">
        <v>31</v>
      </c>
      <c r="D437" s="115">
        <v>7.8E-2</v>
      </c>
      <c r="E437" s="56">
        <v>8.2000000000000003E-2</v>
      </c>
    </row>
    <row r="438" spans="1:5" x14ac:dyDescent="0.3">
      <c r="A438" s="33" t="s">
        <v>38</v>
      </c>
      <c r="B438" s="54" t="s">
        <v>27</v>
      </c>
      <c r="C438" s="54" t="s">
        <v>31</v>
      </c>
      <c r="D438" s="115">
        <v>-6.0000000000000001E-3</v>
      </c>
      <c r="E438" s="56">
        <v>7.0000000000000001E-3</v>
      </c>
    </row>
    <row r="439" spans="1:5" x14ac:dyDescent="0.3">
      <c r="A439" s="33" t="s">
        <v>38</v>
      </c>
      <c r="B439" s="54" t="s">
        <v>36</v>
      </c>
      <c r="C439" s="54" t="s">
        <v>31</v>
      </c>
      <c r="D439" s="115">
        <v>7.3999999999999996E-2</v>
      </c>
      <c r="E439" s="56">
        <v>7.8E-2</v>
      </c>
    </row>
    <row r="440" spans="1:5" x14ac:dyDescent="0.3">
      <c r="A440" s="33" t="s">
        <v>38</v>
      </c>
      <c r="B440" s="54" t="s">
        <v>37</v>
      </c>
      <c r="C440" s="54" t="s">
        <v>31</v>
      </c>
      <c r="D440" s="115">
        <v>7.8E-2</v>
      </c>
      <c r="E440" s="56">
        <v>8.2000000000000003E-2</v>
      </c>
    </row>
    <row r="441" spans="1:5" ht="16.2" thickBot="1" x14ac:dyDescent="0.35">
      <c r="A441" s="39" t="s">
        <v>38</v>
      </c>
      <c r="B441" s="57" t="s">
        <v>38</v>
      </c>
      <c r="C441" s="57" t="s">
        <v>31</v>
      </c>
      <c r="D441" s="116">
        <v>-0.85699999999999998</v>
      </c>
      <c r="E441" s="59">
        <v>-0.90400000000000003</v>
      </c>
    </row>
    <row r="442" spans="1:5" x14ac:dyDescent="0.3">
      <c r="A442" s="43" t="s">
        <v>27</v>
      </c>
      <c r="B442" s="51" t="s">
        <v>27</v>
      </c>
      <c r="C442" s="51" t="s">
        <v>32</v>
      </c>
      <c r="D442" s="123">
        <v>-0.54100000000000004</v>
      </c>
      <c r="E442" s="53">
        <v>-0.70399999999999996</v>
      </c>
    </row>
    <row r="443" spans="1:5" x14ac:dyDescent="0.3">
      <c r="A443" s="33" t="s">
        <v>27</v>
      </c>
      <c r="B443" s="54" t="s">
        <v>36</v>
      </c>
      <c r="C443" s="54" t="s">
        <v>32</v>
      </c>
      <c r="D443" s="115">
        <v>0.20599999999999999</v>
      </c>
      <c r="E443" s="56">
        <v>0.623</v>
      </c>
    </row>
    <row r="444" spans="1:5" x14ac:dyDescent="0.3">
      <c r="A444" s="33" t="s">
        <v>27</v>
      </c>
      <c r="B444" s="54" t="s">
        <v>37</v>
      </c>
      <c r="C444" s="54" t="s">
        <v>32</v>
      </c>
      <c r="D444" s="115">
        <v>0.20599999999999999</v>
      </c>
      <c r="E444" s="56">
        <v>0.623</v>
      </c>
    </row>
    <row r="445" spans="1:5" x14ac:dyDescent="0.3">
      <c r="A445" s="33" t="s">
        <v>27</v>
      </c>
      <c r="B445" s="54" t="s">
        <v>38</v>
      </c>
      <c r="C445" s="54" t="s">
        <v>32</v>
      </c>
      <c r="D445" s="115">
        <v>0.20599999999999999</v>
      </c>
      <c r="E445" s="56">
        <v>0.623</v>
      </c>
    </row>
    <row r="446" spans="1:5" x14ac:dyDescent="0.3">
      <c r="A446" s="33" t="s">
        <v>36</v>
      </c>
      <c r="B446" s="54" t="s">
        <v>27</v>
      </c>
      <c r="C446" s="54" t="s">
        <v>32</v>
      </c>
      <c r="D446" s="115">
        <v>2E-3</v>
      </c>
      <c r="E446" s="56">
        <v>0.02</v>
      </c>
    </row>
    <row r="447" spans="1:5" x14ac:dyDescent="0.3">
      <c r="A447" s="33" t="s">
        <v>36</v>
      </c>
      <c r="B447" s="54" t="s">
        <v>36</v>
      </c>
      <c r="C447" s="54" t="s">
        <v>32</v>
      </c>
      <c r="D447" s="115">
        <v>-0.69199999999999995</v>
      </c>
      <c r="E447" s="56">
        <v>-0.81799999999999995</v>
      </c>
    </row>
    <row r="448" spans="1:5" x14ac:dyDescent="0.3">
      <c r="A448" s="33" t="s">
        <v>36</v>
      </c>
      <c r="B448" s="54" t="s">
        <v>37</v>
      </c>
      <c r="C448" s="54" t="s">
        <v>32</v>
      </c>
      <c r="D448" s="115">
        <v>6.9000000000000006E-2</v>
      </c>
      <c r="E448" s="56">
        <v>8.2000000000000003E-2</v>
      </c>
    </row>
    <row r="449" spans="1:5" x14ac:dyDescent="0.3">
      <c r="A449" s="33" t="s">
        <v>36</v>
      </c>
      <c r="B449" s="54" t="s">
        <v>38</v>
      </c>
      <c r="C449" s="54" t="s">
        <v>32</v>
      </c>
      <c r="D449" s="115">
        <v>7.2999999999999995E-2</v>
      </c>
      <c r="E449" s="56">
        <v>8.5999999999999993E-2</v>
      </c>
    </row>
    <row r="450" spans="1:5" x14ac:dyDescent="0.3">
      <c r="A450" s="33" t="s">
        <v>37</v>
      </c>
      <c r="B450" s="54" t="s">
        <v>27</v>
      </c>
      <c r="C450" s="54" t="s">
        <v>32</v>
      </c>
      <c r="D450" s="115">
        <v>2E-3</v>
      </c>
      <c r="E450" s="56">
        <v>0.02</v>
      </c>
    </row>
    <row r="451" spans="1:5" x14ac:dyDescent="0.3">
      <c r="A451" s="33" t="s">
        <v>37</v>
      </c>
      <c r="B451" s="54" t="s">
        <v>36</v>
      </c>
      <c r="C451" s="54" t="s">
        <v>32</v>
      </c>
      <c r="D451" s="115">
        <v>6.9000000000000006E-2</v>
      </c>
      <c r="E451" s="56">
        <v>8.2000000000000003E-2</v>
      </c>
    </row>
    <row r="452" spans="1:5" x14ac:dyDescent="0.3">
      <c r="A452" s="33" t="s">
        <v>37</v>
      </c>
      <c r="B452" s="54" t="s">
        <v>37</v>
      </c>
      <c r="C452" s="54" t="s">
        <v>32</v>
      </c>
      <c r="D452" s="115">
        <v>-0.76900000000000002</v>
      </c>
      <c r="E452" s="56">
        <v>-0.9</v>
      </c>
    </row>
    <row r="453" spans="1:5" x14ac:dyDescent="0.3">
      <c r="A453" s="33" t="s">
        <v>37</v>
      </c>
      <c r="B453" s="54" t="s">
        <v>38</v>
      </c>
      <c r="C453" s="54" t="s">
        <v>32</v>
      </c>
      <c r="D453" s="115">
        <v>7.6999999999999999E-2</v>
      </c>
      <c r="E453" s="56">
        <v>0.09</v>
      </c>
    </row>
    <row r="454" spans="1:5" x14ac:dyDescent="0.3">
      <c r="A454" s="33" t="s">
        <v>38</v>
      </c>
      <c r="B454" s="54" t="s">
        <v>27</v>
      </c>
      <c r="C454" s="54" t="s">
        <v>32</v>
      </c>
      <c r="D454" s="115">
        <v>2E-3</v>
      </c>
      <c r="E454" s="56">
        <v>0.02</v>
      </c>
    </row>
    <row r="455" spans="1:5" x14ac:dyDescent="0.3">
      <c r="A455" s="33" t="s">
        <v>38</v>
      </c>
      <c r="B455" s="54" t="s">
        <v>36</v>
      </c>
      <c r="C455" s="54" t="s">
        <v>32</v>
      </c>
      <c r="D455" s="115">
        <v>7.2999999999999995E-2</v>
      </c>
      <c r="E455" s="56">
        <v>8.5999999999999993E-2</v>
      </c>
    </row>
    <row r="456" spans="1:5" x14ac:dyDescent="0.3">
      <c r="A456" s="33" t="s">
        <v>38</v>
      </c>
      <c r="B456" s="54" t="s">
        <v>37</v>
      </c>
      <c r="C456" s="54" t="s">
        <v>32</v>
      </c>
      <c r="D456" s="115">
        <v>7.6999999999999999E-2</v>
      </c>
      <c r="E456" s="56">
        <v>0.09</v>
      </c>
    </row>
    <row r="457" spans="1:5" ht="16.2" thickBot="1" x14ac:dyDescent="0.35">
      <c r="A457" s="39" t="s">
        <v>38</v>
      </c>
      <c r="B457" s="57" t="s">
        <v>38</v>
      </c>
      <c r="C457" s="57" t="s">
        <v>32</v>
      </c>
      <c r="D457" s="116">
        <v>-0.84599999999999997</v>
      </c>
      <c r="E457" s="59">
        <v>-0.99</v>
      </c>
    </row>
    <row r="458" spans="1:5" x14ac:dyDescent="0.3">
      <c r="A458" s="43" t="s">
        <v>27</v>
      </c>
      <c r="B458" s="51" t="s">
        <v>27</v>
      </c>
      <c r="C458" s="51" t="s">
        <v>33</v>
      </c>
      <c r="D458" s="123">
        <v>-0.59299999999999997</v>
      </c>
      <c r="E458" s="53">
        <v>-0.85399999999999998</v>
      </c>
    </row>
    <row r="459" spans="1:5" x14ac:dyDescent="0.3">
      <c r="A459" s="33" t="s">
        <v>27</v>
      </c>
      <c r="B459" s="54" t="s">
        <v>36</v>
      </c>
      <c r="C459" s="54" t="s">
        <v>33</v>
      </c>
      <c r="D459" s="115">
        <v>0.624</v>
      </c>
      <c r="E459" s="56">
        <v>-0.36799999999999999</v>
      </c>
    </row>
    <row r="460" spans="1:5" x14ac:dyDescent="0.3">
      <c r="A460" s="33" t="s">
        <v>27</v>
      </c>
      <c r="B460" s="54" t="s">
        <v>37</v>
      </c>
      <c r="C460" s="54" t="s">
        <v>33</v>
      </c>
      <c r="D460" s="115">
        <v>0.624</v>
      </c>
      <c r="E460" s="56">
        <v>-0.36799999999999999</v>
      </c>
    </row>
    <row r="461" spans="1:5" x14ac:dyDescent="0.3">
      <c r="A461" s="33" t="s">
        <v>27</v>
      </c>
      <c r="B461" s="54" t="s">
        <v>38</v>
      </c>
      <c r="C461" s="54" t="s">
        <v>33</v>
      </c>
      <c r="D461" s="115">
        <v>0.624</v>
      </c>
      <c r="E461" s="56">
        <v>-0.36799999999999999</v>
      </c>
    </row>
    <row r="462" spans="1:5" x14ac:dyDescent="0.3">
      <c r="A462" s="33" t="s">
        <v>36</v>
      </c>
      <c r="B462" s="54" t="s">
        <v>27</v>
      </c>
      <c r="C462" s="54" t="s">
        <v>33</v>
      </c>
      <c r="D462" s="115">
        <v>4.0000000000000001E-3</v>
      </c>
      <c r="E462" s="56">
        <v>-1.0999999999999999E-2</v>
      </c>
    </row>
    <row r="463" spans="1:5" x14ac:dyDescent="0.3">
      <c r="A463" s="33" t="s">
        <v>36</v>
      </c>
      <c r="B463" s="54" t="s">
        <v>36</v>
      </c>
      <c r="C463" s="54" t="s">
        <v>33</v>
      </c>
      <c r="D463" s="115">
        <v>-0.71299999999999997</v>
      </c>
      <c r="E463" s="56">
        <v>-0.83599999999999997</v>
      </c>
    </row>
    <row r="464" spans="1:5" x14ac:dyDescent="0.3">
      <c r="A464" s="33" t="s">
        <v>36</v>
      </c>
      <c r="B464" s="54" t="s">
        <v>37</v>
      </c>
      <c r="C464" s="54" t="s">
        <v>33</v>
      </c>
      <c r="D464" s="115">
        <v>7.0999999999999994E-2</v>
      </c>
      <c r="E464" s="56">
        <v>8.4000000000000005E-2</v>
      </c>
    </row>
    <row r="465" spans="1:5" x14ac:dyDescent="0.3">
      <c r="A465" s="33" t="s">
        <v>36</v>
      </c>
      <c r="B465" s="54" t="s">
        <v>38</v>
      </c>
      <c r="C465" s="54" t="s">
        <v>33</v>
      </c>
      <c r="D465" s="115">
        <v>7.4999999999999997E-2</v>
      </c>
      <c r="E465" s="56">
        <v>8.7999999999999995E-2</v>
      </c>
    </row>
    <row r="466" spans="1:5" x14ac:dyDescent="0.3">
      <c r="A466" s="33" t="s">
        <v>37</v>
      </c>
      <c r="B466" s="54" t="s">
        <v>27</v>
      </c>
      <c r="C466" s="54" t="s">
        <v>33</v>
      </c>
      <c r="D466" s="115">
        <v>4.0000000000000001E-3</v>
      </c>
      <c r="E466" s="56">
        <v>-1.0999999999999999E-2</v>
      </c>
    </row>
    <row r="467" spans="1:5" x14ac:dyDescent="0.3">
      <c r="A467" s="33" t="s">
        <v>37</v>
      </c>
      <c r="B467" s="54" t="s">
        <v>36</v>
      </c>
      <c r="C467" s="54" t="s">
        <v>33</v>
      </c>
      <c r="D467" s="115">
        <v>7.0999999999999994E-2</v>
      </c>
      <c r="E467" s="56">
        <v>8.4000000000000005E-2</v>
      </c>
    </row>
    <row r="468" spans="1:5" x14ac:dyDescent="0.3">
      <c r="A468" s="33" t="s">
        <v>37</v>
      </c>
      <c r="B468" s="54" t="s">
        <v>37</v>
      </c>
      <c r="C468" s="54" t="s">
        <v>33</v>
      </c>
      <c r="D468" s="115">
        <v>-0.79300000000000004</v>
      </c>
      <c r="E468" s="56">
        <v>-0.92</v>
      </c>
    </row>
    <row r="469" spans="1:5" x14ac:dyDescent="0.3">
      <c r="A469" s="33" t="s">
        <v>37</v>
      </c>
      <c r="B469" s="54" t="s">
        <v>38</v>
      </c>
      <c r="C469" s="54" t="s">
        <v>33</v>
      </c>
      <c r="D469" s="115">
        <v>7.9000000000000001E-2</v>
      </c>
      <c r="E469" s="56">
        <v>9.1999999999999998E-2</v>
      </c>
    </row>
    <row r="470" spans="1:5" x14ac:dyDescent="0.3">
      <c r="A470" s="33" t="s">
        <v>38</v>
      </c>
      <c r="B470" s="54" t="s">
        <v>27</v>
      </c>
      <c r="C470" s="54" t="s">
        <v>33</v>
      </c>
      <c r="D470" s="115">
        <v>4.0000000000000001E-3</v>
      </c>
      <c r="E470" s="56">
        <v>-1.0999999999999999E-2</v>
      </c>
    </row>
    <row r="471" spans="1:5" x14ac:dyDescent="0.3">
      <c r="A471" s="33" t="s">
        <v>38</v>
      </c>
      <c r="B471" s="54" t="s">
        <v>36</v>
      </c>
      <c r="C471" s="54" t="s">
        <v>33</v>
      </c>
      <c r="D471" s="115">
        <v>7.4999999999999997E-2</v>
      </c>
      <c r="E471" s="56">
        <v>8.7999999999999995E-2</v>
      </c>
    </row>
    <row r="472" spans="1:5" x14ac:dyDescent="0.3">
      <c r="A472" s="33" t="s">
        <v>38</v>
      </c>
      <c r="B472" s="54" t="s">
        <v>37</v>
      </c>
      <c r="C472" s="54" t="s">
        <v>33</v>
      </c>
      <c r="D472" s="115">
        <v>7.9000000000000001E-2</v>
      </c>
      <c r="E472" s="56">
        <v>9.1999999999999998E-2</v>
      </c>
    </row>
    <row r="473" spans="1:5" ht="16.2" thickBot="1" x14ac:dyDescent="0.35">
      <c r="A473" s="39" t="s">
        <v>38</v>
      </c>
      <c r="B473" s="57" t="s">
        <v>38</v>
      </c>
      <c r="C473" s="57" t="s">
        <v>33</v>
      </c>
      <c r="D473" s="116">
        <v>-0.872</v>
      </c>
      <c r="E473" s="59">
        <v>-1.012</v>
      </c>
    </row>
    <row r="474" spans="1:5" x14ac:dyDescent="0.3">
      <c r="A474" s="43" t="s">
        <v>27</v>
      </c>
      <c r="B474" s="51" t="s">
        <v>27</v>
      </c>
      <c r="C474" s="51" t="s">
        <v>34</v>
      </c>
      <c r="D474" s="123">
        <v>-0.47799999999999998</v>
      </c>
      <c r="E474" s="53">
        <v>-0.74399999999999999</v>
      </c>
    </row>
    <row r="475" spans="1:5" x14ac:dyDescent="0.3">
      <c r="A475" s="33" t="s">
        <v>27</v>
      </c>
      <c r="B475" s="54" t="s">
        <v>36</v>
      </c>
      <c r="C475" s="54" t="s">
        <v>34</v>
      </c>
      <c r="D475" s="115">
        <v>0.23200000000000001</v>
      </c>
      <c r="E475" s="56">
        <v>-9.5000000000000001E-2</v>
      </c>
    </row>
    <row r="476" spans="1:5" x14ac:dyDescent="0.3">
      <c r="A476" s="33" t="s">
        <v>27</v>
      </c>
      <c r="B476" s="54" t="s">
        <v>37</v>
      </c>
      <c r="C476" s="54" t="s">
        <v>34</v>
      </c>
      <c r="D476" s="115">
        <v>0.23200000000000001</v>
      </c>
      <c r="E476" s="56">
        <v>-9.5000000000000001E-2</v>
      </c>
    </row>
    <row r="477" spans="1:5" x14ac:dyDescent="0.3">
      <c r="A477" s="33" t="s">
        <v>27</v>
      </c>
      <c r="B477" s="54" t="s">
        <v>38</v>
      </c>
      <c r="C477" s="54" t="s">
        <v>34</v>
      </c>
      <c r="D477" s="115">
        <v>0.23200000000000001</v>
      </c>
      <c r="E477" s="56">
        <v>-9.5000000000000001E-2</v>
      </c>
    </row>
    <row r="478" spans="1:5" x14ac:dyDescent="0.3">
      <c r="A478" s="33" t="s">
        <v>36</v>
      </c>
      <c r="B478" s="54" t="s">
        <v>27</v>
      </c>
      <c r="C478" s="54" t="s">
        <v>34</v>
      </c>
      <c r="D478" s="115">
        <v>2E-3</v>
      </c>
      <c r="E478" s="56">
        <v>-3.0000000000000001E-3</v>
      </c>
    </row>
    <row r="479" spans="1:5" x14ac:dyDescent="0.3">
      <c r="A479" s="33" t="s">
        <v>36</v>
      </c>
      <c r="B479" s="54" t="s">
        <v>36</v>
      </c>
      <c r="C479" s="54" t="s">
        <v>34</v>
      </c>
      <c r="D479" s="115">
        <v>-0.68300000000000005</v>
      </c>
      <c r="E479" s="56">
        <v>-0.91600000000000004</v>
      </c>
    </row>
    <row r="480" spans="1:5" x14ac:dyDescent="0.3">
      <c r="A480" s="33" t="s">
        <v>36</v>
      </c>
      <c r="B480" s="54" t="s">
        <v>37</v>
      </c>
      <c r="C480" s="54" t="s">
        <v>34</v>
      </c>
      <c r="D480" s="115">
        <v>6.8000000000000005E-2</v>
      </c>
      <c r="E480" s="56">
        <v>9.1999999999999998E-2</v>
      </c>
    </row>
    <row r="481" spans="1:11" x14ac:dyDescent="0.3">
      <c r="A481" s="33" t="s">
        <v>36</v>
      </c>
      <c r="B481" s="54" t="s">
        <v>38</v>
      </c>
      <c r="C481" s="54" t="s">
        <v>34</v>
      </c>
      <c r="D481" s="115">
        <v>7.1999999999999995E-2</v>
      </c>
      <c r="E481" s="56">
        <v>9.6000000000000002E-2</v>
      </c>
    </row>
    <row r="482" spans="1:11" x14ac:dyDescent="0.3">
      <c r="A482" s="33" t="s">
        <v>37</v>
      </c>
      <c r="B482" s="54" t="s">
        <v>27</v>
      </c>
      <c r="C482" s="54" t="s">
        <v>34</v>
      </c>
      <c r="D482" s="115">
        <v>2E-3</v>
      </c>
      <c r="E482" s="56">
        <v>-3.0000000000000001E-3</v>
      </c>
    </row>
    <row r="483" spans="1:11" x14ac:dyDescent="0.3">
      <c r="A483" s="33" t="s">
        <v>37</v>
      </c>
      <c r="B483" s="54" t="s">
        <v>36</v>
      </c>
      <c r="C483" s="54" t="s">
        <v>34</v>
      </c>
      <c r="D483" s="115">
        <v>6.8000000000000005E-2</v>
      </c>
      <c r="E483" s="56">
        <v>9.1999999999999998E-2</v>
      </c>
    </row>
    <row r="484" spans="1:11" x14ac:dyDescent="0.3">
      <c r="A484" s="33" t="s">
        <v>37</v>
      </c>
      <c r="B484" s="54" t="s">
        <v>37</v>
      </c>
      <c r="C484" s="54" t="s">
        <v>34</v>
      </c>
      <c r="D484" s="115">
        <v>-0.75900000000000001</v>
      </c>
      <c r="E484" s="56">
        <v>-1.0069999999999999</v>
      </c>
    </row>
    <row r="485" spans="1:11" x14ac:dyDescent="0.3">
      <c r="A485" s="33" t="s">
        <v>37</v>
      </c>
      <c r="B485" s="54" t="s">
        <v>38</v>
      </c>
      <c r="C485" s="54" t="s">
        <v>34</v>
      </c>
      <c r="D485" s="115">
        <v>7.5999999999999998E-2</v>
      </c>
      <c r="E485" s="56">
        <v>0.10100000000000001</v>
      </c>
    </row>
    <row r="486" spans="1:11" x14ac:dyDescent="0.3">
      <c r="A486" s="33" t="s">
        <v>38</v>
      </c>
      <c r="B486" s="54" t="s">
        <v>27</v>
      </c>
      <c r="C486" s="54" t="s">
        <v>34</v>
      </c>
      <c r="D486" s="115">
        <v>2E-3</v>
      </c>
      <c r="E486" s="56">
        <v>-3.0000000000000001E-3</v>
      </c>
    </row>
    <row r="487" spans="1:11" x14ac:dyDescent="0.3">
      <c r="A487" s="33" t="s">
        <v>38</v>
      </c>
      <c r="B487" s="54" t="s">
        <v>36</v>
      </c>
      <c r="C487" s="54" t="s">
        <v>34</v>
      </c>
      <c r="D487" s="115">
        <v>7.1999999999999995E-2</v>
      </c>
      <c r="E487" s="56">
        <v>9.6000000000000002E-2</v>
      </c>
    </row>
    <row r="488" spans="1:11" x14ac:dyDescent="0.3">
      <c r="A488" s="33" t="s">
        <v>38</v>
      </c>
      <c r="B488" s="54" t="s">
        <v>37</v>
      </c>
      <c r="C488" s="54" t="s">
        <v>34</v>
      </c>
      <c r="D488" s="115">
        <v>7.5999999999999998E-2</v>
      </c>
      <c r="E488" s="56">
        <v>0.10100000000000001</v>
      </c>
    </row>
    <row r="489" spans="1:11" ht="16.2" thickBot="1" x14ac:dyDescent="0.35">
      <c r="A489" s="39" t="s">
        <v>38</v>
      </c>
      <c r="B489" s="57" t="s">
        <v>38</v>
      </c>
      <c r="C489" s="57" t="s">
        <v>34</v>
      </c>
      <c r="D489" s="116">
        <v>-0.83499999999999996</v>
      </c>
      <c r="E489" s="59">
        <v>-1.1080000000000001</v>
      </c>
    </row>
    <row r="490" spans="1:11" x14ac:dyDescent="0.3">
      <c r="A490" s="5" t="s">
        <v>67</v>
      </c>
    </row>
    <row r="491" spans="1:11" ht="16.2" thickBot="1" x14ac:dyDescent="0.35">
      <c r="A491" s="4" t="s">
        <v>69</v>
      </c>
    </row>
    <row r="492" spans="1:11" ht="16.2" thickBot="1" x14ac:dyDescent="0.35">
      <c r="A492" s="43"/>
      <c r="B492" s="31" t="s">
        <v>27</v>
      </c>
      <c r="K492" s="99" t="s">
        <v>170</v>
      </c>
    </row>
    <row r="493" spans="1:11" ht="16.2" thickBot="1" x14ac:dyDescent="0.35">
      <c r="A493" s="39" t="s">
        <v>27</v>
      </c>
      <c r="B493" s="59">
        <v>-0.3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vt:lpstr>
      <vt:lpstr>INPUT</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NNQUE</dc:creator>
  <cp:lastModifiedBy>NNQue</cp:lastModifiedBy>
  <dcterms:created xsi:type="dcterms:W3CDTF">2015-04-17T07:20:12Z</dcterms:created>
  <dcterms:modified xsi:type="dcterms:W3CDTF">2020-03-08T21:57:34Z</dcterms:modified>
</cp:coreProperties>
</file>