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PM2018\Version04\VPM2018 Simulation (V04)\"/>
    </mc:Choice>
  </mc:AlternateContent>
  <bookViews>
    <workbookView xWindow="384" yWindow="228" windowWidth="15720" windowHeight="7764" tabRatio="858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52511"/>
</workbook>
</file>

<file path=xl/calcChain.xml><?xml version="1.0" encoding="utf-8"?>
<calcChain xmlns="http://schemas.openxmlformats.org/spreadsheetml/2006/main">
  <c r="BS109" i="1" l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N109" i="1"/>
  <c r="AR96" i="1"/>
  <c r="AP96" i="1"/>
  <c r="AO96" i="1"/>
  <c r="AN96" i="1"/>
  <c r="BS96" i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X57" i="1"/>
  <c r="AW57" i="1"/>
  <c r="AU57" i="1"/>
  <c r="AT57" i="1"/>
  <c r="AS57" i="1"/>
  <c r="AR57" i="1"/>
  <c r="AP57" i="1"/>
  <c r="AO57" i="1"/>
  <c r="AN57" i="1"/>
  <c r="BS31" i="1"/>
  <c r="BQ31" i="1"/>
  <c r="BP31" i="1"/>
  <c r="BO31" i="1"/>
  <c r="AR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P31" i="1"/>
  <c r="AO31" i="1"/>
  <c r="AN31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G116" i="6"/>
  <c r="P116" i="6"/>
  <c r="P115" i="6"/>
  <c r="F18" i="1"/>
  <c r="D116" i="6"/>
  <c r="AZ18" i="1" l="1"/>
  <c r="AQ109" i="1"/>
  <c r="BN31" i="1"/>
  <c r="AQ31" i="1"/>
  <c r="E10" i="2"/>
  <c r="E11" i="2" l="1"/>
  <c r="U33" i="5" l="1"/>
  <c r="X33" i="5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C35" i="5" l="1"/>
  <c r="B34" i="5"/>
  <c r="C34" i="5"/>
  <c r="AJ32" i="5" l="1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E18" i="1" l="1"/>
  <c r="BX18" i="1" s="1"/>
  <c r="D18" i="1" l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B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K34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G34" i="5"/>
  <c r="F34" i="5"/>
  <c r="I34" i="5"/>
  <c r="E38" i="5"/>
  <c r="E37" i="5"/>
  <c r="X6" i="3"/>
  <c r="I45" i="5"/>
  <c r="E45" i="5"/>
  <c r="B45" i="5"/>
  <c r="B44" i="5"/>
  <c r="AU18" i="1" l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BR83" i="1" s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R57" i="1"/>
  <c r="BN83" i="1"/>
  <c r="AX18" i="1"/>
  <c r="AQ83" i="1"/>
  <c r="AQ96" i="1"/>
  <c r="AO18" i="1"/>
  <c r="BK44" i="1"/>
  <c r="AP18" i="1"/>
  <c r="BK96" i="1"/>
  <c r="AQ44" i="1"/>
  <c r="AQ57" i="1"/>
  <c r="AC18" i="1"/>
  <c r="AD18" i="1"/>
  <c r="AA18" i="1"/>
  <c r="BJ96" i="1"/>
  <c r="BJ83" i="1"/>
  <c r="BJ70" i="1"/>
  <c r="AN18" i="1"/>
  <c r="BD18" i="1"/>
  <c r="BP18" i="1"/>
  <c r="BJ57" i="1"/>
  <c r="AR18" i="1"/>
  <c r="BQ18" i="1"/>
  <c r="BJ44" i="1"/>
  <c r="BN44" i="1"/>
  <c r="BJ31" i="1"/>
  <c r="BJ109" i="1"/>
  <c r="K45" i="5"/>
  <c r="BH18" i="1" l="1"/>
  <c r="BC18" i="1"/>
  <c r="AY18" i="1"/>
  <c r="AV18" i="1"/>
  <c r="CE18" i="1"/>
  <c r="CD18" i="1"/>
  <c r="CC18" i="1"/>
  <c r="AQ18" i="1"/>
  <c r="BM83" i="1"/>
  <c r="BM44" i="1"/>
  <c r="BL18" i="1"/>
  <c r="BS18" i="1"/>
  <c r="BJ18" i="1"/>
  <c r="BM31" i="1"/>
  <c r="BM57" i="1"/>
  <c r="BM109" i="1"/>
  <c r="BM70" i="1"/>
  <c r="BR31" i="1"/>
  <c r="BR18" i="1" s="1"/>
  <c r="BK18" i="1"/>
  <c r="BN18" i="1"/>
  <c r="BM96" i="1"/>
  <c r="BM18" i="1" l="1"/>
  <c r="CG18" i="1"/>
  <c r="CH18" i="1" s="1"/>
  <c r="CF18" i="1"/>
  <c r="CB18" i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U116" i="6"/>
  <c r="AA46" i="2" s="1"/>
  <c r="T116" i="6"/>
  <c r="Z46" i="2" s="1"/>
  <c r="S116" i="6"/>
  <c r="Y46" i="2" s="1"/>
  <c r="R116" i="6"/>
  <c r="O116" i="6"/>
  <c r="N116" i="6"/>
  <c r="L116" i="6"/>
  <c r="L46" i="2" s="1"/>
  <c r="K116" i="6"/>
  <c r="K46" i="2" s="1"/>
  <c r="I116" i="6"/>
  <c r="I46" i="2" s="1"/>
  <c r="H116" i="6"/>
  <c r="H46" i="2" s="1"/>
  <c r="G46" i="2"/>
  <c r="F116" i="6"/>
  <c r="F46" i="2" s="1"/>
  <c r="D46" i="2"/>
  <c r="C116" i="6"/>
  <c r="C46" i="2" s="1"/>
  <c r="R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4" i="5"/>
  <c r="I57" i="5"/>
  <c r="I56" i="5"/>
  <c r="I55" i="5"/>
  <c r="B46" i="2" l="1"/>
  <c r="X116" i="6"/>
  <c r="E116" i="6"/>
  <c r="I17" i="2"/>
  <c r="H17" i="2"/>
  <c r="K17" i="2"/>
  <c r="AA17" i="2"/>
  <c r="G17" i="2"/>
  <c r="L17" i="2"/>
  <c r="D17" i="2"/>
  <c r="F17" i="2"/>
  <c r="M46" i="2"/>
  <c r="AW45" i="5"/>
  <c r="AU45" i="5"/>
  <c r="AC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E46" i="2"/>
  <c r="M116" i="6"/>
  <c r="J116" i="6"/>
  <c r="J46" i="2" s="1"/>
  <c r="Y116" i="6"/>
  <c r="Q116" i="6"/>
  <c r="Z116" i="6"/>
  <c r="I58" i="5"/>
  <c r="Q17" i="2" l="1"/>
  <c r="X17" i="2"/>
  <c r="Z17" i="2"/>
  <c r="Y17" i="2"/>
  <c r="B17" i="2"/>
  <c r="E17" i="2"/>
  <c r="M17" i="2"/>
  <c r="C17" i="2"/>
  <c r="AQ45" i="5"/>
  <c r="AK45" i="5" s="1"/>
  <c r="AG46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AB7" i="5"/>
  <c r="AX7" i="5"/>
  <c r="AY15" i="5"/>
  <c r="AX15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31" i="5"/>
  <c r="BA32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32" i="5"/>
  <c r="BE31" i="5"/>
  <c r="BE30" i="5"/>
  <c r="BE29" i="5"/>
  <c r="BE28" i="5"/>
  <c r="BE27" i="5"/>
  <c r="BE26" i="5"/>
  <c r="BE25" i="5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R17" i="2" l="1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X20" i="5" s="1"/>
  <c r="AR21" i="5"/>
  <c r="AZ20" i="5"/>
  <c r="N17" i="2" l="1"/>
  <c r="AB17" i="2"/>
  <c r="N29" i="2"/>
  <c r="AF6" i="6"/>
  <c r="V33" i="5" l="1"/>
  <c r="W33" i="5" s="1"/>
  <c r="L25" i="2" l="1"/>
  <c r="K25" i="2"/>
  <c r="H25" i="2"/>
  <c r="J25" i="2" s="1"/>
  <c r="D25" i="2"/>
  <c r="C25" i="2"/>
  <c r="B25" i="2"/>
  <c r="N25" i="2" l="1"/>
  <c r="E25" i="2"/>
  <c r="Y6" i="3"/>
  <c r="Y12" i="3"/>
  <c r="X12" i="3"/>
  <c r="Y11" i="3"/>
  <c r="X11" i="3"/>
  <c r="Y10" i="3"/>
  <c r="X10" i="3"/>
  <c r="Y9" i="3"/>
  <c r="X9" i="3"/>
  <c r="Y8" i="3"/>
  <c r="X8" i="3"/>
  <c r="Y7" i="3"/>
  <c r="X7" i="3"/>
  <c r="Z6" i="3"/>
  <c r="W6" i="3" s="1"/>
  <c r="H20" i="3"/>
  <c r="H19" i="3"/>
  <c r="H8" i="3"/>
  <c r="H6" i="3"/>
  <c r="Z7" i="3" l="1"/>
  <c r="W7" i="3" s="1"/>
  <c r="X13" i="3"/>
  <c r="U13" i="3" s="1"/>
  <c r="Z11" i="3"/>
  <c r="W11" i="3" s="1"/>
  <c r="Z8" i="3"/>
  <c r="W8" i="3" s="1"/>
  <c r="Z10" i="3"/>
  <c r="W10" i="3" s="1"/>
  <c r="Z12" i="3"/>
  <c r="W12" i="3" s="1"/>
  <c r="Z9" i="3"/>
  <c r="W9" i="3" s="1"/>
  <c r="Y13" i="3"/>
  <c r="V13" i="3" s="1"/>
  <c r="Z13" i="3" l="1"/>
  <c r="W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4" i="5" s="1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T24" i="5" l="1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T32" i="5"/>
  <c r="AY32" i="5" s="1"/>
  <c r="AX32" i="5" s="1"/>
  <c r="T18" i="5"/>
  <c r="AZ31" i="5"/>
  <c r="AT31" i="5"/>
  <c r="AY31" i="5" s="1"/>
  <c r="AX31" i="5" s="1"/>
  <c r="AY30" i="5"/>
  <c r="AZ30" i="5"/>
  <c r="V28" i="5"/>
  <c r="T28" i="5"/>
  <c r="T30" i="5"/>
  <c r="AN30" i="5" s="1"/>
  <c r="V26" i="5"/>
  <c r="T20" i="5"/>
  <c r="T22" i="5"/>
  <c r="E35" i="5"/>
  <c r="E36" i="5" s="1"/>
  <c r="E39" i="5" s="1"/>
  <c r="E40" i="5" s="1"/>
  <c r="E41" i="5" s="1"/>
  <c r="E42" i="5" s="1"/>
  <c r="E43" i="5" s="1"/>
  <c r="E44" i="5" s="1"/>
  <c r="V22" i="5"/>
  <c r="V18" i="5"/>
  <c r="V16" i="5"/>
  <c r="V15" i="5"/>
  <c r="T15" i="5"/>
  <c r="P16" i="5"/>
  <c r="T16" i="5" s="1"/>
  <c r="T14" i="5"/>
  <c r="AT33" i="5" l="1"/>
  <c r="AU33" i="5" s="1"/>
  <c r="AS33" i="5"/>
  <c r="AB32" i="5"/>
  <c r="AB31" i="5"/>
  <c r="AX21" i="5"/>
  <c r="AX30" i="5"/>
  <c r="B30" i="5"/>
  <c r="B31" i="5" s="1"/>
  <c r="B32" i="5" s="1"/>
  <c r="AB30" i="5" l="1"/>
  <c r="AB21" i="5"/>
  <c r="J27" i="5"/>
  <c r="G20" i="3" l="1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8" i="5" s="1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Z13" i="5" l="1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N22" i="5"/>
  <c r="AY13" i="5"/>
  <c r="AY14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Y16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Z18" i="2" l="1"/>
  <c r="H19" i="2"/>
  <c r="H16" i="2"/>
  <c r="I19" i="2"/>
  <c r="I16" i="2"/>
  <c r="L16" i="2"/>
  <c r="AA15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AI40" i="2" l="1"/>
  <c r="AK43" i="2"/>
  <c r="D18" i="2"/>
  <c r="AK37" i="2"/>
  <c r="AJ36" i="2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F29" i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G25" i="1"/>
  <c r="BG12" i="1" s="1"/>
  <c r="BF25" i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G24" i="1"/>
  <c r="BG11" i="1" s="1"/>
  <c r="BF24" i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G20" i="1"/>
  <c r="BG7" i="1" s="1"/>
  <c r="BF20" i="1"/>
  <c r="BE20" i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AZ30" i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B26" i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B24" i="1"/>
  <c r="BA24" i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B23" i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O28" i="1"/>
  <c r="AN28" i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P21" i="1"/>
  <c r="AO21" i="1"/>
  <c r="AN21" i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Q19" i="1" s="1"/>
  <c r="CC9" i="1" l="1"/>
  <c r="CC7" i="1"/>
  <c r="AR13" i="1"/>
  <c r="AN15" i="1"/>
  <c r="BF16" i="1"/>
  <c r="BI14" i="1"/>
  <c r="BI17" i="1"/>
  <c r="BD13" i="1"/>
  <c r="BI8" i="1"/>
  <c r="BE7" i="1"/>
  <c r="BG15" i="1"/>
  <c r="AP10" i="1"/>
  <c r="CE10" i="1" s="1"/>
  <c r="BI11" i="1"/>
  <c r="BD16" i="1"/>
  <c r="BF11" i="1"/>
  <c r="E13" i="2"/>
  <c r="BI9" i="1"/>
  <c r="BI12" i="1"/>
  <c r="BG10" i="1"/>
  <c r="AN8" i="1"/>
  <c r="BG16" i="1"/>
  <c r="AR8" i="1"/>
  <c r="BB13" i="1"/>
  <c r="BD11" i="1"/>
  <c r="AP8" i="1"/>
  <c r="CE8" i="1" s="1"/>
  <c r="BB10" i="1"/>
  <c r="BD10" i="1"/>
  <c r="AP15" i="1"/>
  <c r="CE15" i="1" s="1"/>
  <c r="E12" i="2"/>
  <c r="BD12" i="1"/>
  <c r="E18" i="2"/>
  <c r="BI7" i="1"/>
  <c r="AR17" i="1"/>
  <c r="BA17" i="1"/>
  <c r="BF13" i="1"/>
  <c r="BA15" i="1"/>
  <c r="BC15" i="1" s="1"/>
  <c r="BA11" i="1"/>
  <c r="BB8" i="1"/>
  <c r="BF12" i="1"/>
  <c r="AZ6" i="1"/>
  <c r="BD14" i="1"/>
  <c r="AO14" i="1"/>
  <c r="CD14" i="1" s="1"/>
  <c r="AZ17" i="1"/>
  <c r="BI15" i="1"/>
  <c r="AR6" i="1"/>
  <c r="AR10" i="1"/>
  <c r="AN13" i="1"/>
  <c r="BG13" i="1"/>
  <c r="AO12" i="1"/>
  <c r="CD12" i="1" s="1"/>
  <c r="AN11" i="1"/>
  <c r="AZ8" i="1"/>
  <c r="AN12" i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BG9" i="1"/>
  <c r="AO7" i="1"/>
  <c r="CD7" i="1" s="1"/>
  <c r="AN17" i="1"/>
  <c r="AG34" i="2"/>
  <c r="BD6" i="1"/>
  <c r="AP11" i="1"/>
  <c r="CE11" i="1" s="1"/>
  <c r="BE9" i="1"/>
  <c r="AZ13" i="1"/>
  <c r="BC13" i="1" s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B21" i="2" s="1"/>
  <c r="AZ16" i="1"/>
  <c r="BG8" i="1"/>
  <c r="BE15" i="1"/>
  <c r="BE10" i="1"/>
  <c r="BH10" i="1" s="1"/>
  <c r="BE12" i="1"/>
  <c r="BH12" i="1" s="1"/>
  <c r="BF7" i="1"/>
  <c r="BE14" i="1"/>
  <c r="BH14" i="1" s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C12" i="1" s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H27" i="2"/>
  <c r="G27" i="2"/>
  <c r="M28" i="2"/>
  <c r="M12" i="2"/>
  <c r="M13" i="2"/>
  <c r="E19" i="2"/>
  <c r="C27" i="2"/>
  <c r="D27" i="2"/>
  <c r="B28" i="2"/>
  <c r="BB9" i="1"/>
  <c r="AO8" i="1"/>
  <c r="CD8" i="1" s="1"/>
  <c r="AN16" i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BG6" i="1"/>
  <c r="BD8" i="1"/>
  <c r="AR14" i="1"/>
  <c r="BA7" i="1"/>
  <c r="AR11" i="1"/>
  <c r="J28" i="2"/>
  <c r="D28" i="2"/>
  <c r="AG40" i="5"/>
  <c r="M40" i="5"/>
  <c r="BB7" i="1"/>
  <c r="AR16" i="1"/>
  <c r="AN6" i="1"/>
  <c r="BA6" i="1"/>
  <c r="AZ10" i="1"/>
  <c r="BE13" i="1"/>
  <c r="BH13" i="1" s="1"/>
  <c r="AN10" i="1"/>
  <c r="AP14" i="1"/>
  <c r="CE14" i="1" s="1"/>
  <c r="BD17" i="1"/>
  <c r="BE8" i="1"/>
  <c r="BE11" i="1"/>
  <c r="AZ7" i="1"/>
  <c r="AW17" i="1"/>
  <c r="AN14" i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Y14" i="1" s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C9" i="1" l="1"/>
  <c r="AY13" i="1"/>
  <c r="BC10" i="1"/>
  <c r="BH11" i="1"/>
  <c r="AY15" i="1"/>
  <c r="AY11" i="1"/>
  <c r="AY7" i="1"/>
  <c r="AY6" i="1"/>
  <c r="AY16" i="1"/>
  <c r="AV15" i="1"/>
  <c r="AV8" i="1"/>
  <c r="CF8" i="1" s="1"/>
  <c r="BH16" i="1"/>
  <c r="BH6" i="1"/>
  <c r="BH17" i="1"/>
  <c r="BH8" i="1"/>
  <c r="BH15" i="1"/>
  <c r="BH9" i="1"/>
  <c r="BH7" i="1"/>
  <c r="BC16" i="1"/>
  <c r="BC14" i="1"/>
  <c r="BC6" i="1"/>
  <c r="BC8" i="1"/>
  <c r="BC17" i="1"/>
  <c r="BC11" i="1"/>
  <c r="BC7" i="1"/>
  <c r="AY8" i="1"/>
  <c r="AY9" i="1"/>
  <c r="AY10" i="1"/>
  <c r="AY12" i="1"/>
  <c r="AY17" i="1"/>
  <c r="AV6" i="1"/>
  <c r="CF6" i="1" s="1"/>
  <c r="AV14" i="1"/>
  <c r="CF14" i="1" s="1"/>
  <c r="AV11" i="1"/>
  <c r="CF11" i="1" s="1"/>
  <c r="AV10" i="1"/>
  <c r="CF10" i="1" s="1"/>
  <c r="AV9" i="1"/>
  <c r="CF9" i="1" s="1"/>
  <c r="AV16" i="1"/>
  <c r="CF16" i="1" s="1"/>
  <c r="AV7" i="1"/>
  <c r="CF7" i="1" s="1"/>
  <c r="AV12" i="1"/>
  <c r="CF12" i="1" s="1"/>
  <c r="AV13" i="1"/>
  <c r="CF13" i="1" s="1"/>
  <c r="AV17" i="1"/>
  <c r="CE17" i="1"/>
  <c r="CD17" i="1"/>
  <c r="AQ9" i="1"/>
  <c r="AQ7" i="1"/>
  <c r="CB7" i="1" s="1"/>
  <c r="CC16" i="1"/>
  <c r="AQ16" i="1"/>
  <c r="CB16" i="1" s="1"/>
  <c r="CC14" i="1"/>
  <c r="AQ14" i="1"/>
  <c r="CB14" i="1" s="1"/>
  <c r="CC12" i="1"/>
  <c r="AQ12" i="1"/>
  <c r="CB12" i="1" s="1"/>
  <c r="CC8" i="1"/>
  <c r="AQ8" i="1"/>
  <c r="CB8" i="1" s="1"/>
  <c r="CC10" i="1"/>
  <c r="AQ10" i="1"/>
  <c r="CB10" i="1" s="1"/>
  <c r="CC13" i="1"/>
  <c r="AQ13" i="1"/>
  <c r="CB13" i="1" s="1"/>
  <c r="CC15" i="1"/>
  <c r="AQ15" i="1"/>
  <c r="CB15" i="1" s="1"/>
  <c r="CC6" i="1"/>
  <c r="AQ6" i="1"/>
  <c r="CB6" i="1" s="1"/>
  <c r="CC17" i="1"/>
  <c r="AQ17" i="1"/>
  <c r="CC11" i="1"/>
  <c r="AQ11" i="1"/>
  <c r="CB11" i="1" s="1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21" i="2"/>
  <c r="M10" i="2"/>
  <c r="M20" i="2" s="1"/>
  <c r="M24" i="2"/>
  <c r="M11" i="2"/>
  <c r="M21" i="2" s="1"/>
  <c r="C24" i="2"/>
  <c r="J27" i="2"/>
  <c r="E28" i="2"/>
  <c r="BR24" i="1"/>
  <c r="BR11" i="1" s="1"/>
  <c r="CG11" i="1" s="1"/>
  <c r="CH11" i="1" s="1"/>
  <c r="BR28" i="1"/>
  <c r="BR15" i="1" s="1"/>
  <c r="CG15" i="1" s="1"/>
  <c r="CH15" i="1" s="1"/>
  <c r="CF15" i="1"/>
  <c r="BR27" i="1"/>
  <c r="BR29" i="1"/>
  <c r="BR16" i="1" s="1"/>
  <c r="CG16" i="1" s="1"/>
  <c r="CH16" i="1" s="1"/>
  <c r="BR19" i="1"/>
  <c r="BR6" i="1" s="1"/>
  <c r="CG6" i="1" s="1"/>
  <c r="CH6" i="1" s="1"/>
  <c r="BR21" i="1"/>
  <c r="BR8" i="1" s="1"/>
  <c r="CG8" i="1" s="1"/>
  <c r="CH8" i="1" s="1"/>
  <c r="BR20" i="1"/>
  <c r="BR7" i="1" s="1"/>
  <c r="CG7" i="1" s="1"/>
  <c r="CH7" i="1" s="1"/>
  <c r="BR22" i="1"/>
  <c r="BR25" i="1"/>
  <c r="BR23" i="1"/>
  <c r="BR26" i="1"/>
  <c r="BR13" i="1" s="1"/>
  <c r="CG13" i="1" s="1"/>
  <c r="CH13" i="1" s="1"/>
  <c r="BR30" i="1"/>
  <c r="BR17" i="1" s="1"/>
  <c r="CG17" i="1" s="1"/>
  <c r="CH17" i="1" s="1"/>
  <c r="CB9" i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CF17" i="1" l="1"/>
  <c r="BM17" i="1"/>
  <c r="BM11" i="1"/>
  <c r="BM15" i="1"/>
  <c r="BM7" i="1"/>
  <c r="BM14" i="1"/>
  <c r="BM6" i="1"/>
  <c r="BM10" i="1"/>
  <c r="BM12" i="1"/>
  <c r="BM9" i="1"/>
  <c r="BM13" i="1"/>
  <c r="BM16" i="1"/>
  <c r="BM8" i="1"/>
  <c r="CB17" i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E7" i="5"/>
  <c r="AP7" i="5" s="1"/>
  <c r="BA7" i="5"/>
  <c r="BA33" i="5"/>
  <c r="AB33" i="5"/>
  <c r="AC33" i="5" s="1"/>
  <c r="BE33" i="5"/>
  <c r="AP33" i="5" l="1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>
  <authors>
    <author>NNQue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>
  <authors>
    <author>NNQUE</author>
    <author>NNQue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According to MARD's 2018 Livestock Master Plan, pig production LW is about 5.25 million.tons </t>
        </r>
      </text>
    </comment>
  </commentList>
</comments>
</file>

<file path=xl/sharedStrings.xml><?xml version="1.0" encoding="utf-8"?>
<sst xmlns="http://schemas.openxmlformats.org/spreadsheetml/2006/main" count="1624" uniqueCount="277">
  <si>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</si>
  <si>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</si>
  <si>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</si>
  <si>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</si>
  <si>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</si>
  <si>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</si>
  <si>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</si>
  <si>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</si>
  <si>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</si>
  <si>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</si>
  <si>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</si>
  <si>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</si>
  <si>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</si>
  <si>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</si>
  <si>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</si>
  <si>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</si>
  <si>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</si>
  <si>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</si>
  <si>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</si>
  <si>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</si>
  <si>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</si>
  <si>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</si>
  <si>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</si>
  <si>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</si>
  <si>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</si>
  <si>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</si>
  <si>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</si>
  <si>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</si>
  <si>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</si>
  <si>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</si>
  <si>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</si>
  <si>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</si>
  <si>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</si>
  <si>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</si>
  <si>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</si>
  <si>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</si>
  <si>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</si>
  <si>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</si>
  <si>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</si>
  <si>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</si>
  <si>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</si>
  <si>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</si>
  <si>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</si>
  <si>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</si>
  <si>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</si>
  <si>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</si>
  <si>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</si>
  <si>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</si>
  <si>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</si>
  <si>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</si>
  <si>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</si>
  <si>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</si>
  <si>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</si>
  <si>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</si>
  <si>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</si>
  <si>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</si>
  <si>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</si>
  <si>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</si>
  <si>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</si>
  <si>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</si>
  <si>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</si>
  <si>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</si>
  <si>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</si>
  <si>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</si>
  <si>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</si>
  <si>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</si>
  <si>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</si>
  <si>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</si>
  <si>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</si>
  <si>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</si>
  <si>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</si>
  <si>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</si>
  <si>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</si>
  <si>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</si>
  <si>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</si>
  <si>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</si>
  <si>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</si>
  <si>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</si>
  <si>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</si>
  <si>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</si>
  <si>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</si>
  <si>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</si>
  <si>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</si>
  <si>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</si>
  <si>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</si>
  <si>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</si>
  <si>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</si>
  <si>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</si>
  <si>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</si>
  <si>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</si>
  <si>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</si>
  <si>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</si>
  <si>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</si>
  <si>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</si>
  <si>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</si>
  <si>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</si>
  <si>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</si>
  <si>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</si>
  <si>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</si>
  <si>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</si>
  <si>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</si>
  <si>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</si>
  <si>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</si>
  <si>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</si>
  <si>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</si>
  <si>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</si>
  <si>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</si>
  <si>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</si>
  <si>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</si>
  <si>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</si>
  <si>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</si>
  <si>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</si>
  <si>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</si>
  <si>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</si>
  <si>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</si>
  <si>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</si>
  <si>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</si>
  <si>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</si>
  <si>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</si>
  <si>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</si>
  <si>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</si>
  <si>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</si>
  <si>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</si>
  <si>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</si>
  <si>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</si>
  <si>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</si>
  <si>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</si>
  <si>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</si>
  <si>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</si>
  <si>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</si>
  <si>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</si>
  <si>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</si>
  <si>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</si>
  <si>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</si>
  <si>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</si>
  <si>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</si>
  <si>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</si>
  <si>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</si>
  <si>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</si>
  <si>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</si>
  <si>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</si>
  <si>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</si>
  <si>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</si>
  <si>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</si>
  <si>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</si>
  <si>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</si>
  <si>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</si>
  <si>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</si>
  <si>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</si>
  <si>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</si>
  <si>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</si>
  <si>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</si>
  <si>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</si>
  <si>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</si>
  <si>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</si>
  <si>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</si>
  <si>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</si>
  <si>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</si>
  <si>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</si>
  <si>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</si>
  <si>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</si>
  <si>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</si>
  <si>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</si>
  <si>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</si>
  <si>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</si>
  <si>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</si>
  <si>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</si>
  <si>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</si>
  <si>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</si>
  <si>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</si>
  <si>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</si>
  <si>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</si>
  <si>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</si>
  <si>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</si>
  <si>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</si>
  <si>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</si>
  <si>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</si>
  <si>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</si>
  <si>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</si>
  <si>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</si>
  <si>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</si>
  <si>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</si>
  <si>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</si>
  <si>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</si>
  <si>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</si>
  <si>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</si>
  <si>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</si>
  <si>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</si>
  <si>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</si>
  <si>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</si>
  <si>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</si>
  <si>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</si>
  <si>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</si>
  <si>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</si>
  <si>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</si>
  <si>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</si>
  <si>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</si>
  <si>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</si>
  <si>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</si>
  <si>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</si>
  <si>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</si>
  <si>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</si>
  <si>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</si>
  <si>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</si>
  <si>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</si>
  <si>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</si>
  <si>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</si>
  <si>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</si>
  <si>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</si>
  <si>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</si>
  <si>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</si>
  <si>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</si>
  <si>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</si>
  <si>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</si>
  <si>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</si>
  <si>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</si>
  <si>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</si>
  <si>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</si>
  <si>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</si>
  <si>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</si>
  <si>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</si>
  <si>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</si>
  <si>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</si>
  <si>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</si>
  <si>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</si>
  <si>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</si>
  <si>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</si>
  <si>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</si>
  <si>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</si>
  <si>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</si>
  <si>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</si>
  <si>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</si>
  <si>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</si>
  <si>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</si>
  <si>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</si>
  <si>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</si>
  <si>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</si>
  <si>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</si>
  <si>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</si>
  <si>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</si>
  <si>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</si>
  <si>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</si>
  <si>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</si>
  <si>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</si>
  <si>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</si>
  <si>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</si>
  <si>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</si>
  <si>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</si>
  <si>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</si>
  <si>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</si>
  <si>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</si>
  <si>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</si>
  <si>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</si>
  <si>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</si>
  <si>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</si>
  <si>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</si>
  <si>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</si>
  <si>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</si>
  <si>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</si>
  <si>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</si>
  <si>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</si>
  <si>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</si>
  <si>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</si>
  <si>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</si>
  <si>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</si>
  <si>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</si>
  <si>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</si>
  <si>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</si>
  <si>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DYE growth for TRADPIG</t>
  </si>
  <si>
    <t>DYE growth for COMMPIG</t>
  </si>
  <si>
    <t>Growth assumption 2018-30</t>
  </si>
  <si>
    <t>Base Scenario</t>
  </si>
  <si>
    <t>Higher Income GR</t>
  </si>
  <si>
    <t>Note (NNQue16Mar2020): In Baseline Scenario for 2025 , pig output of 5.245 is consistent with MARD's Master Plan 2020-30 for Livestock Sector.</t>
  </si>
  <si>
    <t>However, for 2030 pig output of 7.488 mill. tons LW is much higher than that of the MP (which is about 6 mill. tons LW).</t>
  </si>
  <si>
    <t>2018</t>
  </si>
  <si>
    <t>Source: Extract of VPM2018 Current Run (Do not change the Table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</si>
</sst>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80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0" fontId="14" fillId="0" borderId="8" xfId="0" applyFont="1" applyBorder="1"/>
    <xf numFmtId="165" fontId="14" fillId="0" borderId="9" xfId="0" applyNumberFormat="1" applyFont="1" applyBorder="1"/>
    <xf numFmtId="1" fontId="14" fillId="0" borderId="9" xfId="0" applyNumberFormat="1" applyFont="1" applyBorder="1"/>
    <xf numFmtId="1" fontId="14" fillId="0" borderId="8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0" fontId="14" fillId="0" borderId="14" xfId="0" applyFont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1" fontId="14" fillId="4" borderId="8" xfId="0" applyNumberFormat="1" applyFont="1" applyFill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9" xfId="0" applyNumberFormat="1" applyFont="1" applyBorder="1"/>
    <xf numFmtId="164" fontId="24" fillId="0" borderId="9" xfId="0" applyNumberFormat="1" applyFont="1" applyBorder="1"/>
    <xf numFmtId="2" fontId="24" fillId="0" borderId="9" xfId="0" applyNumberFormat="1" applyFont="1" applyBorder="1"/>
    <xf numFmtId="1" fontId="24" fillId="0" borderId="0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0" fontId="19" fillId="4" borderId="14" xfId="0" applyFont="1" applyFill="1" applyBorder="1"/>
    <xf numFmtId="0" fontId="19" fillId="4" borderId="8" xfId="0" applyFont="1" applyFill="1" applyBorder="1"/>
    <xf numFmtId="165" fontId="19" fillId="4" borderId="9" xfId="0" applyNumberFormat="1" applyFont="1" applyFill="1" applyBorder="1"/>
    <xf numFmtId="165" fontId="17" fillId="4" borderId="8" xfId="0" applyNumberFormat="1" applyFont="1" applyFill="1" applyBorder="1"/>
    <xf numFmtId="1" fontId="19" fillId="4" borderId="0" xfId="0" applyNumberFormat="1" applyFont="1" applyFill="1" applyBorder="1"/>
    <xf numFmtId="1" fontId="14" fillId="4" borderId="9" xfId="0" applyNumberFormat="1" applyFont="1" applyFill="1" applyBorder="1"/>
    <xf numFmtId="1" fontId="29" fillId="4" borderId="0" xfId="0" applyNumberFormat="1" applyFont="1" applyFill="1" applyBorder="1"/>
    <xf numFmtId="1" fontId="29" fillId="4" borderId="9" xfId="0" applyNumberFormat="1" applyFont="1" applyFill="1" applyBorder="1"/>
    <xf numFmtId="165" fontId="0" fillId="4" borderId="8" xfId="0" applyNumberFormat="1" applyFill="1" applyBorder="1"/>
    <xf numFmtId="165" fontId="14" fillId="4" borderId="9" xfId="0" applyNumberFormat="1" applyFont="1" applyFill="1" applyBorder="1"/>
    <xf numFmtId="1" fontId="0" fillId="4" borderId="8" xfId="0" applyNumberFormat="1" applyFill="1" applyBorder="1"/>
    <xf numFmtId="1" fontId="24" fillId="4" borderId="9" xfId="0" applyNumberFormat="1" applyFont="1" applyFill="1" applyBorder="1"/>
    <xf numFmtId="1" fontId="14" fillId="4" borderId="0" xfId="0" applyNumberFormat="1" applyFont="1" applyFill="1" applyBorder="1"/>
    <xf numFmtId="164" fontId="24" fillId="4" borderId="9" xfId="0" applyNumberFormat="1" applyFont="1" applyFill="1" applyBorder="1"/>
    <xf numFmtId="2" fontId="24" fillId="4" borderId="9" xfId="0" applyNumberFormat="1" applyFont="1" applyFill="1" applyBorder="1"/>
    <xf numFmtId="0" fontId="0" fillId="4" borderId="8" xfId="0" applyFill="1" applyBorder="1"/>
    <xf numFmtId="164" fontId="14" fillId="4" borderId="8" xfId="0" applyNumberFormat="1" applyFont="1" applyFill="1" applyBorder="1"/>
    <xf numFmtId="164" fontId="14" fillId="4" borderId="0" xfId="0" applyNumberFormat="1" applyFont="1" applyFill="1" applyBorder="1"/>
    <xf numFmtId="0" fontId="14" fillId="4" borderId="8" xfId="0" applyFont="1" applyFill="1" applyBorder="1"/>
    <xf numFmtId="1" fontId="24" fillId="4" borderId="0" xfId="0" applyNumberFormat="1" applyFont="1" applyFill="1" applyBorder="1"/>
    <xf numFmtId="0" fontId="0" fillId="4" borderId="0" xfId="0" applyFill="1" applyBorder="1"/>
    <xf numFmtId="0" fontId="14" fillId="4" borderId="15" xfId="0" applyFont="1" applyFill="1" applyBorder="1"/>
    <xf numFmtId="0" fontId="14" fillId="4" borderId="10" xfId="0" applyFont="1" applyFill="1" applyBorder="1"/>
    <xf numFmtId="165" fontId="14" fillId="4" borderId="12" xfId="0" applyNumberFormat="1" applyFont="1" applyFill="1" applyBorder="1"/>
    <xf numFmtId="0" fontId="0" fillId="4" borderId="10" xfId="0" applyFill="1" applyBorder="1"/>
    <xf numFmtId="1" fontId="14" fillId="4" borderId="11" xfId="0" applyNumberFormat="1" applyFont="1" applyFill="1" applyBorder="1"/>
    <xf numFmtId="1" fontId="14" fillId="4" borderId="10" xfId="0" applyNumberFormat="1" applyFont="1" applyFill="1" applyBorder="1"/>
    <xf numFmtId="1" fontId="14" fillId="4" borderId="12" xfId="0" applyNumberFormat="1" applyFont="1" applyFill="1" applyBorder="1"/>
    <xf numFmtId="1" fontId="13" fillId="4" borderId="11" xfId="0" applyNumberFormat="1" applyFont="1" applyFill="1" applyBorder="1"/>
    <xf numFmtId="165" fontId="0" fillId="4" borderId="10" xfId="0" applyNumberFormat="1" applyFill="1" applyBorder="1"/>
    <xf numFmtId="1" fontId="0" fillId="4" borderId="10" xfId="0" applyNumberFormat="1" applyFill="1" applyBorder="1"/>
    <xf numFmtId="1" fontId="24" fillId="4" borderId="12" xfId="0" applyNumberFormat="1" applyFont="1" applyFill="1" applyBorder="1"/>
    <xf numFmtId="164" fontId="24" fillId="4" borderId="12" xfId="0" applyNumberFormat="1" applyFont="1" applyFill="1" applyBorder="1"/>
    <xf numFmtId="2" fontId="24" fillId="4" borderId="12" xfId="0" applyNumberFormat="1" applyFont="1" applyFill="1" applyBorder="1"/>
    <xf numFmtId="164" fontId="14" fillId="4" borderId="10" xfId="0" applyNumberFormat="1" applyFont="1" applyFill="1" applyBorder="1"/>
    <xf numFmtId="164" fontId="14" fillId="4" borderId="11" xfId="0" applyNumberFormat="1" applyFont="1" applyFill="1" applyBorder="1"/>
    <xf numFmtId="1" fontId="24" fillId="4" borderId="11" xfId="0" applyNumberFormat="1" applyFont="1" applyFill="1" applyBorder="1"/>
    <xf numFmtId="1" fontId="19" fillId="4" borderId="10" xfId="0" applyNumberFormat="1" applyFont="1" applyFill="1" applyBorder="1"/>
    <xf numFmtId="1" fontId="29" fillId="4" borderId="12" xfId="0" applyNumberFormat="1" applyFont="1" applyFill="1" applyBorder="1"/>
    <xf numFmtId="1" fontId="19" fillId="4" borderId="11" xfId="0" applyNumberFormat="1" applyFont="1" applyFill="1" applyBorder="1"/>
    <xf numFmtId="0" fontId="0" fillId="4" borderId="11" xfId="0" applyFill="1" applyBorder="1"/>
    <xf numFmtId="0" fontId="14" fillId="4" borderId="13" xfId="0" applyFont="1" applyFill="1" applyBorder="1"/>
    <xf numFmtId="0" fontId="14" fillId="4" borderId="5" xfId="0" applyFont="1" applyFill="1" applyBorder="1"/>
    <xf numFmtId="165" fontId="14" fillId="4" borderId="7" xfId="0" applyNumberFormat="1" applyFont="1" applyFill="1" applyBorder="1"/>
    <xf numFmtId="1" fontId="14" fillId="4" borderId="5" xfId="0" applyNumberFormat="1" applyFont="1" applyFill="1" applyBorder="1"/>
    <xf numFmtId="1" fontId="14" fillId="4" borderId="7" xfId="0" applyNumberFormat="1" applyFont="1" applyFill="1" applyBorder="1"/>
    <xf numFmtId="165" fontId="0" fillId="4" borderId="6" xfId="0" applyNumberFormat="1" applyFill="1" applyBorder="1"/>
    <xf numFmtId="1" fontId="19" fillId="4" borderId="8" xfId="0" applyNumberFormat="1" applyFont="1" applyFill="1" applyBorder="1"/>
    <xf numFmtId="0" fontId="14" fillId="4" borderId="14" xfId="0" applyFont="1" applyFill="1" applyBorder="1"/>
    <xf numFmtId="1" fontId="0" fillId="4" borderId="0" xfId="0" applyNumberForma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0" fontId="6" fillId="4" borderId="13" xfId="0" applyFont="1" applyFill="1" applyBorder="1" applyAlignment="1">
      <alignment horizontal="center"/>
    </xf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0" fontId="6" fillId="4" borderId="14" xfId="0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4" borderId="8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4" borderId="14" xfId="0" applyNumberFormat="1" applyFont="1" applyFill="1" applyBorder="1"/>
    <xf numFmtId="1" fontId="5" fillId="4" borderId="9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4" borderId="0" xfId="0" applyNumberFormat="1" applyFont="1" applyFill="1" applyBorder="1"/>
    <xf numFmtId="1" fontId="3" fillId="4" borderId="9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0" fillId="0" borderId="0" xfId="0" applyNumberFormat="1" applyFill="1" applyAlignment="1">
      <alignment horizontal="right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0" fillId="4" borderId="9" xfId="0" applyNumberFormat="1" applyFont="1" applyFill="1" applyBorder="1"/>
    <xf numFmtId="0" fontId="4" fillId="0" borderId="0" xfId="0" applyFont="1" applyFill="1" applyBorder="1"/>
    <xf numFmtId="0" fontId="0" fillId="0" borderId="8" xfId="0" applyFill="1" applyBorder="1" applyAlignment="1"/>
    <xf numFmtId="0" fontId="16" fillId="0" borderId="8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164" fontId="16" fillId="0" borderId="1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" fontId="24" fillId="0" borderId="6" xfId="0" applyNumberFormat="1" applyFont="1" applyFill="1" applyBorder="1"/>
    <xf numFmtId="1" fontId="24" fillId="0" borderId="5" xfId="0" applyNumberFormat="1" applyFont="1" applyFill="1" applyBorder="1"/>
    <xf numFmtId="1" fontId="24" fillId="0" borderId="7" xfId="0" applyNumberFormat="1" applyFont="1" applyFill="1" applyBorder="1"/>
    <xf numFmtId="1" fontId="24" fillId="0" borderId="8" xfId="0" applyNumberFormat="1" applyFont="1" applyFill="1" applyBorder="1"/>
    <xf numFmtId="164" fontId="9" fillId="0" borderId="6" xfId="0" applyNumberFormat="1" applyFont="1" applyFill="1" applyBorder="1"/>
    <xf numFmtId="164" fontId="9" fillId="0" borderId="0" xfId="0" applyNumberFormat="1" applyFont="1" applyFill="1" applyBorder="1"/>
    <xf numFmtId="1" fontId="9" fillId="0" borderId="7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2">
    <cellStyle name="Normal" xfId="0" builtinId="0"/>
    <cellStyle name="Normal_DVHC" xfId="1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4363.2354470181153</c:v>
                </c:pt>
                <c:pt idx="28" formatCode="0">
                  <c:v>4503.2090816600357</c:v>
                </c:pt>
                <c:pt idx="29" formatCode="0">
                  <c:v>4685.3900596601552</c:v>
                </c:pt>
                <c:pt idx="30" formatCode="0">
                  <c:v>4891.8019359395721</c:v>
                </c:pt>
                <c:pt idx="31" formatCode="0">
                  <c:v>5122.6583367306848</c:v>
                </c:pt>
                <c:pt idx="32" formatCode="0">
                  <c:v>5386.6446305001982</c:v>
                </c:pt>
                <c:pt idx="33" formatCode="0">
                  <c:v>5687.7562034390448</c:v>
                </c:pt>
                <c:pt idx="34" formatCode="0">
                  <c:v>6044.0359029798474</c:v>
                </c:pt>
                <c:pt idx="35" formatCode="0">
                  <c:v>6451.467993375607</c:v>
                </c:pt>
                <c:pt idx="36" formatCode="0">
                  <c:v>6917.2596360332855</c:v>
                </c:pt>
                <c:pt idx="37" formatCode="0">
                  <c:v>7377.751361431443</c:v>
                </c:pt>
                <c:pt idx="38" formatCode="0">
                  <c:v>8005.3977464934105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61080"/>
        <c:axId val="333667744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5217.0688239764104</c:v>
                </c:pt>
                <c:pt idx="28">
                  <c:v>5539.3948048917991</c:v>
                </c:pt>
                <c:pt idx="29">
                  <c:v>5790.0666892689469</c:v>
                </c:pt>
                <c:pt idx="30">
                  <c:v>6078.2307023680078</c:v>
                </c:pt>
                <c:pt idx="31">
                  <c:v>6409.2287849961103</c:v>
                </c:pt>
                <c:pt idx="32">
                  <c:v>6788.6457681836418</c:v>
                </c:pt>
                <c:pt idx="33">
                  <c:v>7223.8045301465891</c:v>
                </c:pt>
                <c:pt idx="34">
                  <c:v>7620.0133588700173</c:v>
                </c:pt>
                <c:pt idx="35">
                  <c:v>8081.0407256557546</c:v>
                </c:pt>
                <c:pt idx="36">
                  <c:v>8621.4966157835424</c:v>
                </c:pt>
                <c:pt idx="37">
                  <c:v>9274.7600351132151</c:v>
                </c:pt>
                <c:pt idx="38">
                  <c:v>10072.197700793213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661080"/>
        <c:axId val="333667744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8272.0902019642763</c:v>
                </c:pt>
                <c:pt idx="28" formatCode="0">
                  <c:v>8984.4345756251732</c:v>
                </c:pt>
                <c:pt idx="29" formatCode="0">
                  <c:v>9520.7868886121214</c:v>
                </c:pt>
                <c:pt idx="30" formatCode="0">
                  <c:v>10093.182966741781</c:v>
                </c:pt>
                <c:pt idx="31" formatCode="0">
                  <c:v>10711.528369364343</c:v>
                </c:pt>
                <c:pt idx="32" formatCode="0">
                  <c:v>11364.207944778933</c:v>
                </c:pt>
                <c:pt idx="33" formatCode="0">
                  <c:v>12058.843385069713</c:v>
                </c:pt>
                <c:pt idx="34" formatCode="0">
                  <c:v>12825.962856612787</c:v>
                </c:pt>
                <c:pt idx="35" formatCode="0">
                  <c:v>13697.593575987876</c:v>
                </c:pt>
                <c:pt idx="36" formatCode="0">
                  <c:v>14705.545016437814</c:v>
                </c:pt>
                <c:pt idx="37" formatCode="0">
                  <c:v>16121.35465743904</c:v>
                </c:pt>
                <c:pt idx="38" formatCode="0">
                  <c:v>17829.816824444115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61080"/>
        <c:axId val="333667744"/>
      </c:lineChart>
      <c:catAx>
        <c:axId val="33366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667744"/>
        <c:crosses val="autoZero"/>
        <c:auto val="1"/>
        <c:lblAlgn val="ctr"/>
        <c:lblOffset val="100"/>
        <c:noMultiLvlLbl val="0"/>
      </c:catAx>
      <c:valAx>
        <c:axId val="333667744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66108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1645.5766462983449</c:v>
                </c:pt>
                <c:pt idx="28" formatCode="0">
                  <c:v>1748.3169131620632</c:v>
                </c:pt>
                <c:pt idx="29" formatCode="0">
                  <c:v>1824.0444064074486</c:v>
                </c:pt>
                <c:pt idx="30" formatCode="0">
                  <c:v>1910.2531411813234</c:v>
                </c:pt>
                <c:pt idx="31" formatCode="0">
                  <c:v>2008.41693497599</c:v>
                </c:pt>
                <c:pt idx="32" formatCode="0">
                  <c:v>2120.049482681552</c:v>
                </c:pt>
                <c:pt idx="33" formatCode="0">
                  <c:v>2247.1625585121965</c:v>
                </c:pt>
                <c:pt idx="34" formatCode="0">
                  <c:v>2346.1177611087342</c:v>
                </c:pt>
                <c:pt idx="35" formatCode="0">
                  <c:v>2461.0982053010739</c:v>
                </c:pt>
                <c:pt idx="36" formatCode="0">
                  <c:v>2596.3630425767024</c:v>
                </c:pt>
                <c:pt idx="37" formatCode="0">
                  <c:v>2761.2693844646628</c:v>
                </c:pt>
                <c:pt idx="38" formatCode="0">
                  <c:v>2964.1547651192377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65000"/>
        <c:axId val="333663040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561.42673280612155</c:v>
                </c:pt>
                <c:pt idx="28" formatCode="0">
                  <c:v>597.57316580963322</c:v>
                </c:pt>
                <c:pt idx="29" formatCode="0">
                  <c:v>615.80720452500714</c:v>
                </c:pt>
                <c:pt idx="30" formatCode="0">
                  <c:v>634.55465047247935</c:v>
                </c:pt>
                <c:pt idx="31" formatCode="0">
                  <c:v>653.84648730446588</c:v>
                </c:pt>
                <c:pt idx="32" formatCode="0">
                  <c:v>673.64820406833269</c:v>
                </c:pt>
                <c:pt idx="33" formatCode="0">
                  <c:v>693.98581658391379</c:v>
                </c:pt>
                <c:pt idx="34" formatCode="0">
                  <c:v>667.72874823421796</c:v>
                </c:pt>
                <c:pt idx="35" formatCode="0">
                  <c:v>636.87536632901652</c:v>
                </c:pt>
                <c:pt idx="36" formatCode="0">
                  <c:v>602.14859957157682</c:v>
                </c:pt>
                <c:pt idx="37" formatCode="0">
                  <c:v>564.80061342366025</c:v>
                </c:pt>
                <c:pt idx="38" formatCode="0">
                  <c:v>524.84821475456124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3665000"/>
        <c:axId val="333663040"/>
      </c:barChart>
      <c:catAx>
        <c:axId val="33366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663040"/>
        <c:crosses val="autoZero"/>
        <c:auto val="1"/>
        <c:lblAlgn val="ctr"/>
        <c:lblOffset val="100"/>
        <c:noMultiLvlLbl val="0"/>
      </c:catAx>
      <c:valAx>
        <c:axId val="33366304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665000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17.186017534021559</c:v>
                </c:pt>
                <c:pt idx="28">
                  <c:v>18.052117725990676</c:v>
                </c:pt>
                <c:pt idx="29">
                  <c:v>18.620621288930586</c:v>
                </c:pt>
                <c:pt idx="30">
                  <c:v>19.279711964769476</c:v>
                </c:pt>
                <c:pt idx="31">
                  <c:v>20.040781058767664</c:v>
                </c:pt>
                <c:pt idx="32">
                  <c:v>20.91498437511088</c:v>
                </c:pt>
                <c:pt idx="33">
                  <c:v>21.91780645170039</c:v>
                </c:pt>
                <c:pt idx="34">
                  <c:v>22.623693717068889</c:v>
                </c:pt>
                <c:pt idx="35">
                  <c:v>23.463544343958141</c:v>
                </c:pt>
                <c:pt idx="36">
                  <c:v>24.472658197728606</c:v>
                </c:pt>
                <c:pt idx="37">
                  <c:v>25.670901071295244</c:v>
                </c:pt>
                <c:pt idx="38">
                  <c:v>27.075669352076147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62256"/>
        <c:axId val="333664216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6">
                  <c:v>2.2829999999999999</c:v>
                </c:pt>
                <c:pt idx="27" formatCode="0.0">
                  <c:v>2.5993116790111812</c:v>
                </c:pt>
                <c:pt idx="28" formatCode="0.0">
                  <c:v>2.6821452083816446</c:v>
                </c:pt>
                <c:pt idx="29" formatCode="0.0">
                  <c:v>2.7452058682282883</c:v>
                </c:pt>
                <c:pt idx="30" formatCode="0.0">
                  <c:v>2.8042628074054994</c:v>
                </c:pt>
                <c:pt idx="31" formatCode="0.0">
                  <c:v>2.8596553349843199</c:v>
                </c:pt>
                <c:pt idx="32" formatCode="0.0">
                  <c:v>2.9040983194832055</c:v>
                </c:pt>
                <c:pt idx="33" formatCode="0.0">
                  <c:v>2.9378138272807912</c:v>
                </c:pt>
                <c:pt idx="34" formatCode="0.0">
                  <c:v>3.0765514450284033</c:v>
                </c:pt>
                <c:pt idx="35" formatCode="0.0">
                  <c:v>3.2314610995910575</c:v>
                </c:pt>
                <c:pt idx="36" formatCode="0.0">
                  <c:v>3.4007694967759949</c:v>
                </c:pt>
                <c:pt idx="37" formatCode="0.0">
                  <c:v>3.6306054790093962</c:v>
                </c:pt>
                <c:pt idx="38" formatCode="0.0">
                  <c:v>3.9247446269708162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61472"/>
        <c:axId val="333668136"/>
      </c:lineChart>
      <c:catAx>
        <c:axId val="3336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668136"/>
        <c:crosses val="autoZero"/>
        <c:auto val="1"/>
        <c:lblAlgn val="ctr"/>
        <c:lblOffset val="100"/>
        <c:noMultiLvlLbl val="0"/>
      </c:catAx>
      <c:valAx>
        <c:axId val="333668136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3661472"/>
        <c:crosses val="autoZero"/>
        <c:crossBetween val="between"/>
      </c:valAx>
      <c:valAx>
        <c:axId val="333664216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333662256"/>
        <c:crosses val="max"/>
        <c:crossBetween val="between"/>
      </c:valAx>
      <c:catAx>
        <c:axId val="33366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664216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1911.7638491843675</c:v>
                </c:pt>
                <c:pt idx="1">
                  <c:v>1645.5766462983449</c:v>
                </c:pt>
                <c:pt idx="2">
                  <c:v>1748.3169131620632</c:v>
                </c:pt>
                <c:pt idx="3">
                  <c:v>1824.0444064074486</c:v>
                </c:pt>
                <c:pt idx="4">
                  <c:v>1910.2531411813234</c:v>
                </c:pt>
                <c:pt idx="5">
                  <c:v>2008.41693497599</c:v>
                </c:pt>
                <c:pt idx="6">
                  <c:v>2120.049482681552</c:v>
                </c:pt>
                <c:pt idx="7">
                  <c:v>2247.1625585121965</c:v>
                </c:pt>
                <c:pt idx="8">
                  <c:v>2346.1177611087342</c:v>
                </c:pt>
                <c:pt idx="9">
                  <c:v>2461.0982053010739</c:v>
                </c:pt>
                <c:pt idx="10">
                  <c:v>2596.3630425767024</c:v>
                </c:pt>
                <c:pt idx="11">
                  <c:v>2761.2693844646628</c:v>
                </c:pt>
                <c:pt idx="12">
                  <c:v>2964.1547651192377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3664608"/>
        <c:axId val="333660688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79574.558654334222</c:v>
                </c:pt>
                <c:pt idx="1">
                  <c:v>103924.89413874689</c:v>
                </c:pt>
                <c:pt idx="2">
                  <c:v>111461.02655891432</c:v>
                </c:pt>
                <c:pt idx="3">
                  <c:v>116171.19331465583</c:v>
                </c:pt>
                <c:pt idx="4">
                  <c:v>120403.26996054004</c:v>
                </c:pt>
                <c:pt idx="5">
                  <c:v>124065.13142011265</c:v>
                </c:pt>
                <c:pt idx="6">
                  <c:v>127080.61493791023</c:v>
                </c:pt>
                <c:pt idx="7">
                  <c:v>129389.18621513656</c:v>
                </c:pt>
                <c:pt idx="8">
                  <c:v>135239.36666817244</c:v>
                </c:pt>
                <c:pt idx="9">
                  <c:v>140662.82496002279</c:v>
                </c:pt>
                <c:pt idx="10">
                  <c:v>145457.02843095252</c:v>
                </c:pt>
                <c:pt idx="11">
                  <c:v>149839.01870059976</c:v>
                </c:pt>
                <c:pt idx="12">
                  <c:v>153872.31350521994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66176"/>
        <c:axId val="333665784"/>
      </c:lineChart>
      <c:catAx>
        <c:axId val="3336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0688"/>
        <c:crosses val="autoZero"/>
        <c:auto val="1"/>
        <c:lblAlgn val="ctr"/>
        <c:lblOffset val="100"/>
        <c:noMultiLvlLbl val="0"/>
      </c:catAx>
      <c:valAx>
        <c:axId val="3336606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4608"/>
        <c:crosses val="autoZero"/>
        <c:crossBetween val="between"/>
      </c:valAx>
      <c:valAx>
        <c:axId val="333665784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66176"/>
        <c:crosses val="max"/>
        <c:crossBetween val="between"/>
      </c:valAx>
      <c:catAx>
        <c:axId val="33366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66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I131"/>
  <sheetViews>
    <sheetView tabSelected="1" zoomScale="80" zoomScaleNormal="80" workbookViewId="0">
      <pane xSplit="2" ySplit="5" topLeftCell="C102" activePane="bottomRight" state="frozen"/>
      <selection pane="topRight" activeCell="C1" sqref="C1"/>
      <selection pane="bottomLeft" activeCell="A6" sqref="A6"/>
      <selection pane="bottomRight" activeCell="N114" sqref="N114"/>
    </sheetView>
  </sheetViews>
  <sheetFormatPr defaultRowHeight="15.6" x14ac:dyDescent="0.3"/>
  <cols>
    <col min="1" max="1" width="5.5" style="30" customWidth="1"/>
    <col min="2" max="2" width="7.296875" style="30" bestFit="1" customWidth="1"/>
    <col min="3" max="3" width="8.59765625" style="1" bestFit="1" customWidth="1"/>
    <col min="4" max="4" width="7.19921875" style="1" bestFit="1" customWidth="1"/>
    <col min="5" max="5" width="7.296875" style="1" bestFit="1" customWidth="1"/>
    <col min="6" max="6" width="8.59765625" style="1" bestFit="1" customWidth="1"/>
    <col min="7" max="7" width="7.296875" style="1" bestFit="1" customWidth="1"/>
    <col min="8" max="8" width="8.59765625" style="1" bestFit="1" customWidth="1"/>
    <col min="9" max="9" width="7.19921875" style="1" bestFit="1" customWidth="1"/>
    <col min="10" max="10" width="6.19921875" style="1" bestFit="1" customWidth="1"/>
    <col min="11" max="11" width="7.796875" style="1" bestFit="1" customWidth="1"/>
    <col min="12" max="12" width="8.59765625" style="1" bestFit="1" customWidth="1"/>
    <col min="13" max="13" width="7.19921875" style="1" bestFit="1" customWidth="1"/>
    <col min="14" max="14" width="7.796875" style="1" bestFit="1" customWidth="1"/>
    <col min="15" max="15" width="8.59765625" style="1" bestFit="1" customWidth="1"/>
    <col min="16" max="16" width="7.5" style="1" bestFit="1" customWidth="1"/>
    <col min="17" max="17" width="7.19921875" style="1" bestFit="1" customWidth="1"/>
    <col min="18" max="18" width="7.5" style="1" bestFit="1" customWidth="1"/>
    <col min="19" max="20" width="8.59765625" style="1" bestFit="1" customWidth="1"/>
    <col min="21" max="21" width="7.5" style="1" bestFit="1" customWidth="1"/>
    <col min="22" max="22" width="9.59765625" style="1" bestFit="1" customWidth="1"/>
    <col min="23" max="23" width="9.69921875" style="1" bestFit="1" customWidth="1"/>
    <col min="24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35" x14ac:dyDescent="0.3">
      <c r="A1" s="41" t="s">
        <v>61</v>
      </c>
    </row>
    <row r="2" spans="1:35" ht="16.2" thickBot="1" x14ac:dyDescent="0.35">
      <c r="A2" s="56" t="s">
        <v>276</v>
      </c>
    </row>
    <row r="3" spans="1:35" ht="16.2" thickBot="1" x14ac:dyDescent="0.35">
      <c r="A3" s="43"/>
      <c r="B3" s="44"/>
      <c r="C3" s="45"/>
      <c r="D3" s="49"/>
      <c r="E3" s="741" t="s">
        <v>30</v>
      </c>
      <c r="F3" s="742"/>
      <c r="G3" s="742"/>
      <c r="H3" s="743"/>
      <c r="I3" s="45"/>
      <c r="J3" s="49"/>
      <c r="K3" s="741" t="s">
        <v>31</v>
      </c>
      <c r="L3" s="742"/>
      <c r="M3" s="742"/>
      <c r="N3" s="742"/>
      <c r="O3" s="743"/>
      <c r="P3" s="45"/>
      <c r="Q3" s="49"/>
      <c r="R3" s="741" t="s">
        <v>59</v>
      </c>
      <c r="S3" s="742"/>
      <c r="T3" s="742"/>
      <c r="U3" s="742"/>
      <c r="V3" s="741" t="s">
        <v>58</v>
      </c>
      <c r="W3" s="742"/>
      <c r="X3" s="742"/>
      <c r="Y3" s="743"/>
      <c r="Z3" s="45"/>
      <c r="AA3" s="49"/>
      <c r="AB3" s="741" t="s">
        <v>32</v>
      </c>
      <c r="AC3" s="742"/>
      <c r="AD3" s="742"/>
      <c r="AE3" s="743"/>
      <c r="AF3" s="739" t="s">
        <v>64</v>
      </c>
      <c r="AG3" s="740"/>
    </row>
    <row r="4" spans="1:35" ht="16.2" thickBot="1" x14ac:dyDescent="0.35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63</v>
      </c>
    </row>
    <row r="5" spans="1:35" ht="16.2" thickBot="1" x14ac:dyDescent="0.35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74"/>
    </row>
    <row r="6" spans="1:35" x14ac:dyDescent="0.3">
      <c r="A6" s="35">
        <v>1</v>
      </c>
      <c r="B6" s="36">
        <v>2018</v>
      </c>
      <c r="C6" s="33" t="s">
        <v>275</v>
      </c>
      <c r="D6" s="27" t="s">
        <v>0</v>
      </c>
      <c r="E6" s="7">
        <v>220.27144153331335</v>
      </c>
      <c r="F6" s="8">
        <v>78.745003511188145</v>
      </c>
      <c r="G6" s="8">
        <v>8.566474183914492</v>
      </c>
      <c r="H6" s="9">
        <v>1561.993503385861</v>
      </c>
      <c r="I6" s="6" t="s">
        <v>275</v>
      </c>
      <c r="J6" s="27" t="s">
        <v>0</v>
      </c>
      <c r="K6" s="7">
        <v>206.54423966882203</v>
      </c>
      <c r="L6" s="8">
        <v>77.349103907877819</v>
      </c>
      <c r="M6" s="8">
        <v>8.4297745249086979</v>
      </c>
      <c r="N6" s="8">
        <v>46.752826129324227</v>
      </c>
      <c r="O6" s="9">
        <v>1761.2290099768259</v>
      </c>
      <c r="P6" s="6" t="s">
        <v>275</v>
      </c>
      <c r="Q6" s="27" t="s">
        <v>0</v>
      </c>
      <c r="R6" s="14">
        <v>1E-3</v>
      </c>
      <c r="S6" s="15">
        <v>1E-3</v>
      </c>
      <c r="T6" s="15">
        <v>1.0403319791417218E-2</v>
      </c>
      <c r="U6" s="15">
        <v>-245.98733272028917</v>
      </c>
      <c r="V6" s="7">
        <v>13.728201864491339</v>
      </c>
      <c r="W6" s="8">
        <v>1.3968996033103065</v>
      </c>
      <c r="X6" s="8">
        <v>0.12829633921437492</v>
      </c>
      <c r="Y6" s="9">
        <v>1E-3</v>
      </c>
      <c r="Z6" s="6" t="s">
        <v>275</v>
      </c>
      <c r="AA6" s="27" t="s">
        <v>0</v>
      </c>
      <c r="AB6" s="14">
        <v>76994.711518395969</v>
      </c>
      <c r="AC6" s="15">
        <v>79620.37074439456</v>
      </c>
      <c r="AD6" s="15">
        <v>82438.713899472627</v>
      </c>
      <c r="AE6" s="16">
        <v>7357.4300927930281</v>
      </c>
      <c r="AF6" s="143">
        <f>SUM(K6:M6)</f>
        <v>292.32311810160854</v>
      </c>
      <c r="AG6" s="144">
        <f>SUM(N6:O6)</f>
        <v>1807.98183610615</v>
      </c>
      <c r="AH6" s="374"/>
      <c r="AI6" s="374"/>
    </row>
    <row r="7" spans="1:35" x14ac:dyDescent="0.3">
      <c r="A7" s="37">
        <v>2</v>
      </c>
      <c r="B7" s="38">
        <v>2018</v>
      </c>
      <c r="C7" s="31" t="s">
        <v>275</v>
      </c>
      <c r="D7" s="28" t="s">
        <v>1</v>
      </c>
      <c r="E7" s="11">
        <v>95.48810102722291</v>
      </c>
      <c r="F7" s="12">
        <v>414.04894000327272</v>
      </c>
      <c r="G7" s="12">
        <v>33.830309604790386</v>
      </c>
      <c r="H7" s="13">
        <v>332.10403618883595</v>
      </c>
      <c r="I7" s="10" t="s">
        <v>275</v>
      </c>
      <c r="J7" s="28" t="s">
        <v>1</v>
      </c>
      <c r="K7" s="11">
        <v>95.065742750544629</v>
      </c>
      <c r="L7" s="12">
        <v>421.23042051868015</v>
      </c>
      <c r="M7" s="12">
        <v>33.888387268538111</v>
      </c>
      <c r="N7" s="12">
        <v>49.94774199522189</v>
      </c>
      <c r="O7" s="13">
        <v>4003.5527529301157</v>
      </c>
      <c r="P7" s="10" t="s">
        <v>275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-3721.3954587365006</v>
      </c>
      <c r="V7" s="11">
        <v>0.42335827667816217</v>
      </c>
      <c r="W7" s="12">
        <v>-7.1804805154072264</v>
      </c>
      <c r="X7" s="12">
        <v>-5.7077663747723439E-2</v>
      </c>
      <c r="Y7" s="13">
        <v>1E-3</v>
      </c>
      <c r="Z7" s="10" t="s">
        <v>275</v>
      </c>
      <c r="AA7" s="28" t="s">
        <v>1</v>
      </c>
      <c r="AB7" s="17">
        <v>78269.678446868464</v>
      </c>
      <c r="AC7" s="18">
        <v>79642.820568727446</v>
      </c>
      <c r="AD7" s="18">
        <v>83710.933407883742</v>
      </c>
      <c r="AE7" s="19">
        <v>6993.2141258114571</v>
      </c>
      <c r="AF7" s="145">
        <f t="shared" ref="AF7:AF70" si="0">SUM(K7:M7)</f>
        <v>550.18455053776279</v>
      </c>
      <c r="AG7" s="146">
        <f t="shared" ref="AG7:AG70" si="1">SUM(N7:O7)</f>
        <v>4053.5004949253375</v>
      </c>
    </row>
    <row r="8" spans="1:35" x14ac:dyDescent="0.3">
      <c r="A8" s="37">
        <v>3</v>
      </c>
      <c r="B8" s="38">
        <v>2018</v>
      </c>
      <c r="C8" s="31" t="s">
        <v>275</v>
      </c>
      <c r="D8" s="28" t="s">
        <v>2</v>
      </c>
      <c r="E8" s="11">
        <v>97.043212590161858</v>
      </c>
      <c r="F8" s="12">
        <v>82.8119700845659</v>
      </c>
      <c r="G8" s="12">
        <v>6.4309587999049436</v>
      </c>
      <c r="H8" s="13">
        <v>430.27491767376745</v>
      </c>
      <c r="I8" s="10" t="s">
        <v>275</v>
      </c>
      <c r="J8" s="28" t="s">
        <v>2</v>
      </c>
      <c r="K8" s="11">
        <v>101.39359082091111</v>
      </c>
      <c r="L8" s="12">
        <v>88.501306752352946</v>
      </c>
      <c r="M8" s="12">
        <v>6.7414787438819701</v>
      </c>
      <c r="N8" s="12">
        <v>30.359288697347203</v>
      </c>
      <c r="O8" s="13">
        <v>1182.1128043851913</v>
      </c>
      <c r="P8" s="10" t="s">
        <v>275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-782.19617540877118</v>
      </c>
      <c r="V8" s="11">
        <v>-4.3493782307492594</v>
      </c>
      <c r="W8" s="12">
        <v>-5.6883366677870635</v>
      </c>
      <c r="X8" s="12">
        <v>-0.30951994397702792</v>
      </c>
      <c r="Y8" s="13">
        <v>1E-3</v>
      </c>
      <c r="Z8" s="10" t="s">
        <v>275</v>
      </c>
      <c r="AA8" s="28" t="s">
        <v>2</v>
      </c>
      <c r="AB8" s="17">
        <v>79612.218468440959</v>
      </c>
      <c r="AC8" s="18">
        <v>80542.744492645958</v>
      </c>
      <c r="AD8" s="18">
        <v>85054.8072214719</v>
      </c>
      <c r="AE8" s="19">
        <v>7388.6490268978041</v>
      </c>
      <c r="AF8" s="145">
        <f t="shared" si="0"/>
        <v>196.63637631714604</v>
      </c>
      <c r="AG8" s="146">
        <f t="shared" si="1"/>
        <v>1212.4720930825385</v>
      </c>
    </row>
    <row r="9" spans="1:35" x14ac:dyDescent="0.3">
      <c r="A9" s="37">
        <v>4</v>
      </c>
      <c r="B9" s="38">
        <v>2018</v>
      </c>
      <c r="C9" s="31" t="s">
        <v>275</v>
      </c>
      <c r="D9" s="28" t="s">
        <v>3</v>
      </c>
      <c r="E9" s="11">
        <v>58.980659438163073</v>
      </c>
      <c r="F9" s="12">
        <v>58.138044069897646</v>
      </c>
      <c r="G9" s="12">
        <v>5.147024208227311</v>
      </c>
      <c r="H9" s="13">
        <v>312.95915404968321</v>
      </c>
      <c r="I9" s="10" t="s">
        <v>275</v>
      </c>
      <c r="J9" s="28" t="s">
        <v>3</v>
      </c>
      <c r="K9" s="11">
        <v>73.273547456555377</v>
      </c>
      <c r="L9" s="12">
        <v>76.396207453537386</v>
      </c>
      <c r="M9" s="12">
        <v>6.6961833275157927</v>
      </c>
      <c r="N9" s="12">
        <v>18.402649429558512</v>
      </c>
      <c r="O9" s="13">
        <v>787.98536010137286</v>
      </c>
      <c r="P9" s="10" t="s">
        <v>275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-321.35190063861182</v>
      </c>
      <c r="V9" s="11">
        <v>-14.291888018392322</v>
      </c>
      <c r="W9" s="12">
        <v>-18.257163383639742</v>
      </c>
      <c r="X9" s="12">
        <v>-1.5481591192884818</v>
      </c>
      <c r="Y9" s="13">
        <v>-172.07495484263623</v>
      </c>
      <c r="Z9" s="10" t="s">
        <v>275</v>
      </c>
      <c r="AA9" s="28" t="s">
        <v>3</v>
      </c>
      <c r="AB9" s="17">
        <v>82538.734659109075</v>
      </c>
      <c r="AC9" s="18">
        <v>80704.781294578162</v>
      </c>
      <c r="AD9" s="18">
        <v>83859.823210750415</v>
      </c>
      <c r="AE9" s="19">
        <v>7730.6606277324245</v>
      </c>
      <c r="AF9" s="145">
        <f t="shared" si="0"/>
        <v>156.36593823760856</v>
      </c>
      <c r="AG9" s="146">
        <f t="shared" si="1"/>
        <v>806.38800953093141</v>
      </c>
    </row>
    <row r="10" spans="1:35" x14ac:dyDescent="0.3">
      <c r="A10" s="37">
        <v>5</v>
      </c>
      <c r="B10" s="38">
        <v>2018</v>
      </c>
      <c r="C10" s="31" t="s">
        <v>275</v>
      </c>
      <c r="D10" s="28" t="s">
        <v>4</v>
      </c>
      <c r="E10" s="11">
        <v>45.125638719458493</v>
      </c>
      <c r="F10" s="12">
        <v>75.318898027449563</v>
      </c>
      <c r="G10" s="12">
        <v>7.0154824615355214</v>
      </c>
      <c r="H10" s="13">
        <v>1057.9985190946586</v>
      </c>
      <c r="I10" s="10" t="s">
        <v>275</v>
      </c>
      <c r="J10" s="28" t="s">
        <v>4</v>
      </c>
      <c r="K10" s="11">
        <v>33.471229836622044</v>
      </c>
      <c r="L10" s="12">
        <v>59.314386873693344</v>
      </c>
      <c r="M10" s="12">
        <v>5.4653074309244349</v>
      </c>
      <c r="N10" s="12">
        <v>15.41149788713402</v>
      </c>
      <c r="O10" s="13">
        <v>870.51106636488817</v>
      </c>
      <c r="P10" s="10" t="s">
        <v>275</v>
      </c>
      <c r="Q10" s="28" t="s">
        <v>4</v>
      </c>
      <c r="R10" s="17">
        <v>1E-3</v>
      </c>
      <c r="S10" s="18">
        <v>1E-3</v>
      </c>
      <c r="T10" s="18">
        <v>2.015911322605585E-3</v>
      </c>
      <c r="U10" s="18">
        <v>1E-3</v>
      </c>
      <c r="V10" s="11">
        <v>11.655408882836445</v>
      </c>
      <c r="W10" s="12">
        <v>16.00551115375622</v>
      </c>
      <c r="X10" s="12">
        <v>1.5501591192884816</v>
      </c>
      <c r="Y10" s="13">
        <v>172.07695484263624</v>
      </c>
      <c r="Z10" s="10" t="s">
        <v>275</v>
      </c>
      <c r="AA10" s="28" t="s">
        <v>4</v>
      </c>
      <c r="AB10" s="17">
        <v>80982.491821146294</v>
      </c>
      <c r="AC10" s="18">
        <v>76980.306961163718</v>
      </c>
      <c r="AD10" s="18">
        <v>82303.256365207955</v>
      </c>
      <c r="AE10" s="19">
        <v>7211.188073784655</v>
      </c>
      <c r="AF10" s="145">
        <f t="shared" si="0"/>
        <v>98.250924141239835</v>
      </c>
      <c r="AG10" s="146">
        <f t="shared" si="1"/>
        <v>885.9225642520222</v>
      </c>
    </row>
    <row r="11" spans="1:35" x14ac:dyDescent="0.3">
      <c r="A11" s="37">
        <v>6</v>
      </c>
      <c r="B11" s="38">
        <v>2018</v>
      </c>
      <c r="C11" s="31" t="s">
        <v>275</v>
      </c>
      <c r="D11" s="28" t="s">
        <v>5</v>
      </c>
      <c r="E11" s="11">
        <v>53.864199453964076</v>
      </c>
      <c r="F11" s="12">
        <v>252.91926633769731</v>
      </c>
      <c r="G11" s="12">
        <v>27.319455338942877</v>
      </c>
      <c r="H11" s="13">
        <v>387.04263670514086</v>
      </c>
      <c r="I11" s="10" t="s">
        <v>275</v>
      </c>
      <c r="J11" s="28" t="s">
        <v>5</v>
      </c>
      <c r="K11" s="11">
        <v>44.797878595792248</v>
      </c>
      <c r="L11" s="12">
        <v>223.65049913701768</v>
      </c>
      <c r="M11" s="12">
        <v>23.768528879446812</v>
      </c>
      <c r="N11" s="12">
        <v>27.744910633943078</v>
      </c>
      <c r="O11" s="13">
        <v>2479.9422049503933</v>
      </c>
      <c r="P11" s="10" t="s">
        <v>275</v>
      </c>
      <c r="Q11" s="28" t="s">
        <v>5</v>
      </c>
      <c r="R11" s="17">
        <v>1E-3</v>
      </c>
      <c r="S11" s="18">
        <v>1E-3</v>
      </c>
      <c r="T11" s="18">
        <v>1.9860179629283221</v>
      </c>
      <c r="U11" s="18">
        <v>-2120.6434788791953</v>
      </c>
      <c r="V11" s="11">
        <v>9.0673208581718256</v>
      </c>
      <c r="W11" s="12">
        <v>29.269767200679798</v>
      </c>
      <c r="X11" s="12">
        <v>1.5669084965677504</v>
      </c>
      <c r="Y11" s="13">
        <v>1E-3</v>
      </c>
      <c r="Z11" s="10" t="s">
        <v>275</v>
      </c>
      <c r="AA11" s="28" t="s">
        <v>5</v>
      </c>
      <c r="AB11" s="17">
        <v>79943.816429671802</v>
      </c>
      <c r="AC11" s="18">
        <v>79057.510311513324</v>
      </c>
      <c r="AD11" s="18">
        <v>81688.959999999977</v>
      </c>
      <c r="AE11" s="19">
        <v>6873.2976194014682</v>
      </c>
      <c r="AF11" s="145">
        <f t="shared" si="0"/>
        <v>292.21690661225676</v>
      </c>
      <c r="AG11" s="146">
        <f t="shared" si="1"/>
        <v>2507.6871155843364</v>
      </c>
    </row>
    <row r="12" spans="1:35" ht="16.2" thickBot="1" x14ac:dyDescent="0.35">
      <c r="A12" s="39">
        <v>7</v>
      </c>
      <c r="B12" s="54">
        <v>2018</v>
      </c>
      <c r="C12" s="32" t="s">
        <v>275</v>
      </c>
      <c r="D12" s="29" t="s">
        <v>6</v>
      </c>
      <c r="E12" s="21">
        <v>183.80673915978605</v>
      </c>
      <c r="F12" s="22">
        <v>97.454661093996563</v>
      </c>
      <c r="G12" s="22">
        <v>9.4373695369141881</v>
      </c>
      <c r="H12" s="23">
        <v>164.06058957423616</v>
      </c>
      <c r="I12" s="20" t="s">
        <v>275</v>
      </c>
      <c r="J12" s="29" t="s">
        <v>6</v>
      </c>
      <c r="K12" s="21">
        <v>200.03376279282222</v>
      </c>
      <c r="L12" s="22">
        <v>112.99485848490886</v>
      </c>
      <c r="M12" s="22">
        <v>10.761976764971559</v>
      </c>
      <c r="N12" s="22">
        <v>28.592643368601237</v>
      </c>
      <c r="O12" s="23">
        <v>1750.0622792807339</v>
      </c>
      <c r="P12" s="20" t="s">
        <v>275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-1614.5933330750991</v>
      </c>
      <c r="V12" s="21">
        <v>-16.226023633036192</v>
      </c>
      <c r="W12" s="22">
        <v>-15.539197390912291</v>
      </c>
      <c r="X12" s="22">
        <v>-1.3236072280573743</v>
      </c>
      <c r="Y12" s="23">
        <v>1E-3</v>
      </c>
      <c r="Z12" s="20" t="s">
        <v>275</v>
      </c>
      <c r="AA12" s="29" t="s">
        <v>6</v>
      </c>
      <c r="AB12" s="24">
        <v>80365.712383166712</v>
      </c>
      <c r="AC12" s="25">
        <v>79191.634973012246</v>
      </c>
      <c r="AD12" s="25">
        <v>82110.303847000032</v>
      </c>
      <c r="AE12" s="26">
        <v>6862.6360620016176</v>
      </c>
      <c r="AF12" s="147">
        <f t="shared" si="0"/>
        <v>323.79059804270264</v>
      </c>
      <c r="AG12" s="148">
        <f t="shared" si="1"/>
        <v>1778.6549226493353</v>
      </c>
    </row>
    <row r="13" spans="1:35" x14ac:dyDescent="0.3">
      <c r="A13" s="35">
        <v>1</v>
      </c>
      <c r="B13" s="36">
        <v>2019</v>
      </c>
      <c r="C13" s="33" t="s">
        <v>171</v>
      </c>
      <c r="D13" s="27" t="s">
        <v>0</v>
      </c>
      <c r="E13" s="7">
        <v>204.5470913214308</v>
      </c>
      <c r="F13" s="8">
        <v>82.629325798429093</v>
      </c>
      <c r="G13" s="8">
        <v>9.4221980562327214</v>
      </c>
      <c r="H13" s="9">
        <v>1593.4778386487421</v>
      </c>
      <c r="I13" s="6" t="s">
        <v>171</v>
      </c>
      <c r="J13" s="27" t="s">
        <v>0</v>
      </c>
      <c r="K13" s="7">
        <v>176.72271135006932</v>
      </c>
      <c r="L13" s="8">
        <v>70.268587732902333</v>
      </c>
      <c r="M13" s="8">
        <v>9.2080325343145404</v>
      </c>
      <c r="N13" s="8">
        <v>55.632675442989679</v>
      </c>
      <c r="O13" s="9">
        <v>1864.9175035200333</v>
      </c>
      <c r="P13" s="6" t="s">
        <v>171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-327.07134031428086</v>
      </c>
      <c r="V13" s="7">
        <v>27.825379971361443</v>
      </c>
      <c r="W13" s="8">
        <v>12.361738065526753</v>
      </c>
      <c r="X13" s="8">
        <v>0.21516552191818331</v>
      </c>
      <c r="Y13" s="9">
        <v>1E-3</v>
      </c>
      <c r="Z13" s="6" t="s">
        <v>171</v>
      </c>
      <c r="AA13" s="27" t="s">
        <v>0</v>
      </c>
      <c r="AB13" s="14">
        <v>100347.10868825522</v>
      </c>
      <c r="AC13" s="15">
        <v>95907.43157361378</v>
      </c>
      <c r="AD13" s="15">
        <v>94671.58458876553</v>
      </c>
      <c r="AE13" s="16">
        <v>7658.4482016405709</v>
      </c>
      <c r="AF13" s="143">
        <f t="shared" si="0"/>
        <v>256.19933161728619</v>
      </c>
      <c r="AG13" s="144">
        <f t="shared" si="1"/>
        <v>1920.550178963023</v>
      </c>
    </row>
    <row r="14" spans="1:35" x14ac:dyDescent="0.3">
      <c r="A14" s="37">
        <v>2</v>
      </c>
      <c r="B14" s="38">
        <v>2019</v>
      </c>
      <c r="C14" s="31" t="s">
        <v>171</v>
      </c>
      <c r="D14" s="28" t="s">
        <v>1</v>
      </c>
      <c r="E14" s="11">
        <v>12.974690554865541</v>
      </c>
      <c r="F14" s="12">
        <v>315.50014270063764</v>
      </c>
      <c r="G14" s="12">
        <v>36.721302149515758</v>
      </c>
      <c r="H14" s="13">
        <v>336.24028959706618</v>
      </c>
      <c r="I14" s="10" t="s">
        <v>171</v>
      </c>
      <c r="J14" s="28" t="s">
        <v>1</v>
      </c>
      <c r="K14" s="11">
        <v>67.459792764921502</v>
      </c>
      <c r="L14" s="12">
        <v>392.421043051178</v>
      </c>
      <c r="M14" s="12">
        <v>38.307673528660352</v>
      </c>
      <c r="N14" s="12">
        <v>38.691555196702666</v>
      </c>
      <c r="O14" s="13">
        <v>3083.4763148201291</v>
      </c>
      <c r="P14" s="10" t="s">
        <v>171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-2785.9265804197657</v>
      </c>
      <c r="V14" s="11">
        <v>-54.484102210055887</v>
      </c>
      <c r="W14" s="12">
        <v>-76.919900350540473</v>
      </c>
      <c r="X14" s="12">
        <v>-1.5853713791445929</v>
      </c>
      <c r="Y14" s="13">
        <v>1E-3</v>
      </c>
      <c r="Z14" s="10" t="s">
        <v>171</v>
      </c>
      <c r="AA14" s="28" t="s">
        <v>1</v>
      </c>
      <c r="AB14" s="17">
        <v>131767.28039538159</v>
      </c>
      <c r="AC14" s="18">
        <v>95843.361638360395</v>
      </c>
      <c r="AD14" s="18">
        <v>95946.411343025437</v>
      </c>
      <c r="AE14" s="19">
        <v>7294.5497251734178</v>
      </c>
      <c r="AF14" s="145">
        <f t="shared" si="0"/>
        <v>498.18850934475989</v>
      </c>
      <c r="AG14" s="146">
        <f t="shared" si="1"/>
        <v>3122.1678700168318</v>
      </c>
    </row>
    <row r="15" spans="1:35" x14ac:dyDescent="0.3">
      <c r="A15" s="37">
        <v>3</v>
      </c>
      <c r="B15" s="38">
        <v>2019</v>
      </c>
      <c r="C15" s="31" t="s">
        <v>171</v>
      </c>
      <c r="D15" s="28" t="s">
        <v>2</v>
      </c>
      <c r="E15" s="11">
        <v>88.97788153303938</v>
      </c>
      <c r="F15" s="12">
        <v>86.045539796870884</v>
      </c>
      <c r="G15" s="12">
        <v>6.9900802227500218</v>
      </c>
      <c r="H15" s="13">
        <v>432.69780503465614</v>
      </c>
      <c r="I15" s="10" t="s">
        <v>171</v>
      </c>
      <c r="J15" s="28" t="s">
        <v>2</v>
      </c>
      <c r="K15" s="11">
        <v>70.742126075397309</v>
      </c>
      <c r="L15" s="12">
        <v>84.885357151635816</v>
      </c>
      <c r="M15" s="12">
        <v>7.6582385038681675</v>
      </c>
      <c r="N15" s="12">
        <v>43.620851922051685</v>
      </c>
      <c r="O15" s="13">
        <v>1303.3985181460012</v>
      </c>
      <c r="P15" s="10" t="s">
        <v>171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-914.32056503339686</v>
      </c>
      <c r="V15" s="11">
        <v>18.236755457642062</v>
      </c>
      <c r="W15" s="12">
        <v>1.1611826452350664</v>
      </c>
      <c r="X15" s="12">
        <v>-0.6671582811181439</v>
      </c>
      <c r="Y15" s="13">
        <v>1E-3</v>
      </c>
      <c r="Z15" s="10" t="s">
        <v>171</v>
      </c>
      <c r="AA15" s="28" t="s">
        <v>2</v>
      </c>
      <c r="AB15" s="17">
        <v>130424.50110637254</v>
      </c>
      <c r="AC15" s="18">
        <v>93983.758959076687</v>
      </c>
      <c r="AD15" s="18">
        <v>97289.888621749895</v>
      </c>
      <c r="AE15" s="19">
        <v>7689.5764887270043</v>
      </c>
      <c r="AF15" s="145">
        <f t="shared" si="0"/>
        <v>163.28572173090129</v>
      </c>
      <c r="AG15" s="146">
        <f t="shared" si="1"/>
        <v>1347.0193700680529</v>
      </c>
    </row>
    <row r="16" spans="1:35" x14ac:dyDescent="0.3">
      <c r="A16" s="37">
        <v>4</v>
      </c>
      <c r="B16" s="38">
        <v>2019</v>
      </c>
      <c r="C16" s="31" t="s">
        <v>171</v>
      </c>
      <c r="D16" s="28" t="s">
        <v>3</v>
      </c>
      <c r="E16" s="11">
        <v>56.227619212906419</v>
      </c>
      <c r="F16" s="12">
        <v>61.765483686819081</v>
      </c>
      <c r="G16" s="12">
        <v>5.6370131198299109</v>
      </c>
      <c r="H16" s="13">
        <v>324.34996265621652</v>
      </c>
      <c r="I16" s="10" t="s">
        <v>171</v>
      </c>
      <c r="J16" s="28" t="s">
        <v>3</v>
      </c>
      <c r="K16" s="11">
        <v>54.992766645501142</v>
      </c>
      <c r="L16" s="12">
        <v>71.205376475501339</v>
      </c>
      <c r="M16" s="12">
        <v>7.3602875061303727</v>
      </c>
      <c r="N16" s="12">
        <v>21.555058564941088</v>
      </c>
      <c r="O16" s="13">
        <v>896.68882291634577</v>
      </c>
      <c r="P16" s="10" t="s">
        <v>171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-543.56523213836135</v>
      </c>
      <c r="V16" s="11">
        <v>1.2358525674052769</v>
      </c>
      <c r="W16" s="12">
        <v>-9.4388927886822529</v>
      </c>
      <c r="X16" s="12">
        <v>-1.7222743863004615</v>
      </c>
      <c r="Y16" s="13">
        <v>-50.326686686708946</v>
      </c>
      <c r="Z16" s="10" t="s">
        <v>171</v>
      </c>
      <c r="AA16" s="28" t="s">
        <v>3</v>
      </c>
      <c r="AB16" s="17">
        <v>127708.89482044058</v>
      </c>
      <c r="AC16" s="18">
        <v>95193.98806826846</v>
      </c>
      <c r="AD16" s="18">
        <v>96527.324351339252</v>
      </c>
      <c r="AE16" s="19">
        <v>8031.2038308948459</v>
      </c>
      <c r="AF16" s="145">
        <f t="shared" si="0"/>
        <v>133.55843062713285</v>
      </c>
      <c r="AG16" s="146">
        <f t="shared" si="1"/>
        <v>918.24388148128685</v>
      </c>
    </row>
    <row r="17" spans="1:33" x14ac:dyDescent="0.3">
      <c r="A17" s="37">
        <v>5</v>
      </c>
      <c r="B17" s="38">
        <v>2019</v>
      </c>
      <c r="C17" s="31" t="s">
        <v>171</v>
      </c>
      <c r="D17" s="28" t="s">
        <v>4</v>
      </c>
      <c r="E17" s="11">
        <v>44.587303317226599</v>
      </c>
      <c r="F17" s="12">
        <v>81.658223815744762</v>
      </c>
      <c r="G17" s="12">
        <v>7.6859174108218706</v>
      </c>
      <c r="H17" s="13">
        <v>1104.0559622785856</v>
      </c>
      <c r="I17" s="10" t="s">
        <v>171</v>
      </c>
      <c r="J17" s="28" t="s">
        <v>4</v>
      </c>
      <c r="K17" s="11">
        <v>23.725999527371098</v>
      </c>
      <c r="L17" s="12">
        <v>54.342542337670508</v>
      </c>
      <c r="M17" s="12">
        <v>6.0623892717603542</v>
      </c>
      <c r="N17" s="12">
        <v>23.704290238126539</v>
      </c>
      <c r="O17" s="13">
        <v>1030.0239853537498</v>
      </c>
      <c r="P17" s="10" t="s">
        <v>171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20.862303789855488</v>
      </c>
      <c r="W17" s="12">
        <v>27.316681478074241</v>
      </c>
      <c r="X17" s="12">
        <v>1.6245281390615147</v>
      </c>
      <c r="Y17" s="13">
        <v>50.328686686708942</v>
      </c>
      <c r="Z17" s="10" t="s">
        <v>171</v>
      </c>
      <c r="AA17" s="28" t="s">
        <v>4</v>
      </c>
      <c r="AB17" s="17">
        <v>128923.80311792575</v>
      </c>
      <c r="AC17" s="18">
        <v>91929.320386448875</v>
      </c>
      <c r="AD17" s="18">
        <v>94972.691623110601</v>
      </c>
      <c r="AE17" s="19">
        <v>7512.0925658264223</v>
      </c>
      <c r="AF17" s="145">
        <f t="shared" si="0"/>
        <v>84.130931136801962</v>
      </c>
      <c r="AG17" s="146">
        <f t="shared" si="1"/>
        <v>1053.7282755918764</v>
      </c>
    </row>
    <row r="18" spans="1:33" x14ac:dyDescent="0.3">
      <c r="A18" s="37">
        <v>6</v>
      </c>
      <c r="B18" s="38">
        <v>2019</v>
      </c>
      <c r="C18" s="31" t="s">
        <v>171</v>
      </c>
      <c r="D18" s="28" t="s">
        <v>5</v>
      </c>
      <c r="E18" s="11">
        <v>5.6025897028774141</v>
      </c>
      <c r="F18" s="12">
        <v>250.80133764078064</v>
      </c>
      <c r="G18" s="12">
        <v>29.753109381272544</v>
      </c>
      <c r="H18" s="13">
        <v>400.17250116345861</v>
      </c>
      <c r="I18" s="10" t="s">
        <v>171</v>
      </c>
      <c r="J18" s="28" t="s">
        <v>5</v>
      </c>
      <c r="K18" s="11">
        <v>30.105288720104781</v>
      </c>
      <c r="L18" s="12">
        <v>201.37489454113282</v>
      </c>
      <c r="M18" s="12">
        <v>26.058702000971632</v>
      </c>
      <c r="N18" s="12">
        <v>36.608905329165928</v>
      </c>
      <c r="O18" s="13">
        <v>2437.7666941958914</v>
      </c>
      <c r="P18" s="10" t="s">
        <v>171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-2074.2020983615985</v>
      </c>
      <c r="V18" s="11">
        <v>-24.501699017227345</v>
      </c>
      <c r="W18" s="12">
        <v>49.427443099647832</v>
      </c>
      <c r="X18" s="12">
        <v>3.6954073803009559</v>
      </c>
      <c r="Y18" s="13">
        <v>1E-3</v>
      </c>
      <c r="Z18" s="10" t="s">
        <v>171</v>
      </c>
      <c r="AA18" s="28" t="s">
        <v>5</v>
      </c>
      <c r="AB18" s="17">
        <v>130420.75372877176</v>
      </c>
      <c r="AC18" s="18">
        <v>95420.929094308522</v>
      </c>
      <c r="AD18" s="18">
        <v>93878.923421598796</v>
      </c>
      <c r="AE18" s="19">
        <v>7171.9357225976437</v>
      </c>
      <c r="AF18" s="145">
        <f t="shared" si="0"/>
        <v>257.53888526220919</v>
      </c>
      <c r="AG18" s="146">
        <f t="shared" si="1"/>
        <v>2474.3755995250572</v>
      </c>
    </row>
    <row r="19" spans="1:33" ht="16.2" thickBot="1" x14ac:dyDescent="0.35">
      <c r="A19" s="39">
        <v>7</v>
      </c>
      <c r="B19" s="54">
        <v>2019</v>
      </c>
      <c r="C19" s="32" t="s">
        <v>171</v>
      </c>
      <c r="D19" s="29" t="s">
        <v>6</v>
      </c>
      <c r="E19" s="21">
        <v>148.50955716377538</v>
      </c>
      <c r="F19" s="22">
        <v>99.261783157787917</v>
      </c>
      <c r="G19" s="22">
        <v>10.278456554730537</v>
      </c>
      <c r="H19" s="23">
        <v>172.24108763938949</v>
      </c>
      <c r="I19" s="20" t="s">
        <v>171</v>
      </c>
      <c r="J19" s="29" t="s">
        <v>6</v>
      </c>
      <c r="K19" s="21">
        <v>137.67804772275636</v>
      </c>
      <c r="L19" s="22">
        <v>103.16403530704909</v>
      </c>
      <c r="M19" s="22">
        <v>11.832753549447995</v>
      </c>
      <c r="N19" s="22">
        <v>29.073095951854093</v>
      </c>
      <c r="O19" s="23">
        <v>1770.1743773844096</v>
      </c>
      <c r="P19" s="20" t="s">
        <v>171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-1627.0053856968741</v>
      </c>
      <c r="V19" s="21">
        <v>10.832509441018965</v>
      </c>
      <c r="W19" s="22">
        <v>-3.9012521492611727</v>
      </c>
      <c r="X19" s="22">
        <v>-1.5532969947174557</v>
      </c>
      <c r="Y19" s="23">
        <v>1E-3</v>
      </c>
      <c r="Z19" s="20" t="s">
        <v>171</v>
      </c>
      <c r="AA19" s="29" t="s">
        <v>6</v>
      </c>
      <c r="AB19" s="24">
        <v>129664.81682014171</v>
      </c>
      <c r="AC19" s="25">
        <v>95467.963783597515</v>
      </c>
      <c r="AD19" s="25">
        <v>94297.779143699416</v>
      </c>
      <c r="AE19" s="26">
        <v>7163.7108028596213</v>
      </c>
      <c r="AF19" s="147">
        <f t="shared" si="0"/>
        <v>252.67483657925345</v>
      </c>
      <c r="AG19" s="148">
        <f t="shared" si="1"/>
        <v>1799.2474733362637</v>
      </c>
    </row>
    <row r="20" spans="1:33" x14ac:dyDescent="0.3">
      <c r="A20" s="35">
        <v>1</v>
      </c>
      <c r="B20" s="36">
        <v>2020</v>
      </c>
      <c r="C20" s="33" t="s">
        <v>172</v>
      </c>
      <c r="D20" s="27" t="s">
        <v>0</v>
      </c>
      <c r="E20" s="7">
        <v>238.56421957912673</v>
      </c>
      <c r="F20" s="8">
        <v>87.320234429570377</v>
      </c>
      <c r="G20" s="8">
        <v>9.3780202483070649</v>
      </c>
      <c r="H20" s="9">
        <v>1647.4247271761856</v>
      </c>
      <c r="I20" s="6" t="s">
        <v>172</v>
      </c>
      <c r="J20" s="27" t="s">
        <v>0</v>
      </c>
      <c r="K20" s="7">
        <v>165.48338494760452</v>
      </c>
      <c r="L20" s="8">
        <v>76.046232294657216</v>
      </c>
      <c r="M20" s="8">
        <v>9.3623690952346745</v>
      </c>
      <c r="N20" s="8">
        <v>60.366085081118285</v>
      </c>
      <c r="O20" s="9">
        <v>2179.1709153916358</v>
      </c>
      <c r="P20" s="6" t="s">
        <v>172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-592.11127329656915</v>
      </c>
      <c r="V20" s="7">
        <v>73.081834631522213</v>
      </c>
      <c r="W20" s="8">
        <v>11.27500213491315</v>
      </c>
      <c r="X20" s="8">
        <v>1.6651153072389742E-2</v>
      </c>
      <c r="Y20" s="9">
        <v>1E-3</v>
      </c>
      <c r="Z20" s="6" t="s">
        <v>172</v>
      </c>
      <c r="AA20" s="27" t="s">
        <v>0</v>
      </c>
      <c r="AB20" s="14">
        <v>129239.17095778562</v>
      </c>
      <c r="AC20" s="15">
        <v>102920.07245558617</v>
      </c>
      <c r="AD20" s="15">
        <v>92628.075511898627</v>
      </c>
      <c r="AE20" s="16">
        <v>7876.867655246675</v>
      </c>
      <c r="AF20" s="143">
        <f t="shared" si="0"/>
        <v>250.89198633749641</v>
      </c>
      <c r="AG20" s="144">
        <f t="shared" si="1"/>
        <v>2239.5370004727542</v>
      </c>
    </row>
    <row r="21" spans="1:33" x14ac:dyDescent="0.3">
      <c r="A21" s="37">
        <v>2</v>
      </c>
      <c r="B21" s="38">
        <v>2020</v>
      </c>
      <c r="C21" s="31" t="s">
        <v>172</v>
      </c>
      <c r="D21" s="28" t="s">
        <v>1</v>
      </c>
      <c r="E21" s="11">
        <v>12.863697407969852</v>
      </c>
      <c r="F21" s="12">
        <v>336.95829291168934</v>
      </c>
      <c r="G21" s="12">
        <v>36.975875780854217</v>
      </c>
      <c r="H21" s="13">
        <v>345.87180365097868</v>
      </c>
      <c r="I21" s="10" t="s">
        <v>172</v>
      </c>
      <c r="J21" s="28" t="s">
        <v>1</v>
      </c>
      <c r="K21" s="11">
        <v>76.236540738791589</v>
      </c>
      <c r="L21" s="12">
        <v>421.29265854326894</v>
      </c>
      <c r="M21" s="12">
        <v>38.485444979954593</v>
      </c>
      <c r="N21" s="12">
        <v>39.854560463021556</v>
      </c>
      <c r="O21" s="13">
        <v>3258.381010810474</v>
      </c>
      <c r="P21" s="10" t="s">
        <v>172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-2952.3627676225169</v>
      </c>
      <c r="V21" s="11">
        <v>-63.371843330821818</v>
      </c>
      <c r="W21" s="12">
        <v>-84.333365631579653</v>
      </c>
      <c r="X21" s="12">
        <v>-1.5085691991003838</v>
      </c>
      <c r="Y21" s="13">
        <v>1E-3</v>
      </c>
      <c r="Z21" s="10" t="s">
        <v>172</v>
      </c>
      <c r="AA21" s="28" t="s">
        <v>1</v>
      </c>
      <c r="AB21" s="17">
        <v>130581.968801838</v>
      </c>
      <c r="AC21" s="18">
        <v>102641.58396642766</v>
      </c>
      <c r="AD21" s="18">
        <v>93903.401434125903</v>
      </c>
      <c r="AE21" s="19">
        <v>7513.0478391127381</v>
      </c>
      <c r="AF21" s="145">
        <f t="shared" si="0"/>
        <v>536.01464426201505</v>
      </c>
      <c r="AG21" s="146">
        <f t="shared" si="1"/>
        <v>3298.2355712734957</v>
      </c>
    </row>
    <row r="22" spans="1:33" x14ac:dyDescent="0.3">
      <c r="A22" s="37">
        <v>3</v>
      </c>
      <c r="B22" s="38">
        <v>2020</v>
      </c>
      <c r="C22" s="31" t="s">
        <v>172</v>
      </c>
      <c r="D22" s="28" t="s">
        <v>2</v>
      </c>
      <c r="E22" s="11">
        <v>88.179506663043099</v>
      </c>
      <c r="F22" s="12">
        <v>92.121955027615243</v>
      </c>
      <c r="G22" s="12">
        <v>7.0415305404953372</v>
      </c>
      <c r="H22" s="13">
        <v>444.68366902152678</v>
      </c>
      <c r="I22" s="10" t="s">
        <v>172</v>
      </c>
      <c r="J22" s="28" t="s">
        <v>2</v>
      </c>
      <c r="K22" s="11">
        <v>82.193837144083588</v>
      </c>
      <c r="L22" s="12">
        <v>92.014921438759956</v>
      </c>
      <c r="M22" s="12">
        <v>7.8288579993913805</v>
      </c>
      <c r="N22" s="12">
        <v>44.358249675646192</v>
      </c>
      <c r="O22" s="13">
        <v>1340.1533493815346</v>
      </c>
      <c r="P22" s="10" t="s">
        <v>172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-939.82693003565419</v>
      </c>
      <c r="V22" s="11">
        <v>5.9866695189594852</v>
      </c>
      <c r="W22" s="12">
        <v>0.10803358885529184</v>
      </c>
      <c r="X22" s="12">
        <v>-0.78632745889604427</v>
      </c>
      <c r="Y22" s="13">
        <v>1E-3</v>
      </c>
      <c r="Z22" s="10" t="s">
        <v>172</v>
      </c>
      <c r="AA22" s="28" t="s">
        <v>2</v>
      </c>
      <c r="AB22" s="17">
        <v>129221.99795841331</v>
      </c>
      <c r="AC22" s="18">
        <v>100927.8788048813</v>
      </c>
      <c r="AD22" s="18">
        <v>95245.840302624347</v>
      </c>
      <c r="AE22" s="19">
        <v>7908.0656036317578</v>
      </c>
      <c r="AF22" s="145">
        <f t="shared" si="0"/>
        <v>182.0376165822349</v>
      </c>
      <c r="AG22" s="146">
        <f t="shared" si="1"/>
        <v>1384.5115990571808</v>
      </c>
    </row>
    <row r="23" spans="1:33" x14ac:dyDescent="0.3">
      <c r="A23" s="37">
        <v>4</v>
      </c>
      <c r="B23" s="38">
        <v>2020</v>
      </c>
      <c r="C23" s="31" t="s">
        <v>172</v>
      </c>
      <c r="D23" s="28" t="s">
        <v>3</v>
      </c>
      <c r="E23" s="11">
        <v>57.227611717340253</v>
      </c>
      <c r="F23" s="12">
        <v>65.982487481217504</v>
      </c>
      <c r="G23" s="12">
        <v>5.6688732759820848</v>
      </c>
      <c r="H23" s="13">
        <v>334.44031738061284</v>
      </c>
      <c r="I23" s="10" t="s">
        <v>172</v>
      </c>
      <c r="J23" s="28" t="s">
        <v>3</v>
      </c>
      <c r="K23" s="11">
        <v>60.441482595491053</v>
      </c>
      <c r="L23" s="12">
        <v>75.955189951516886</v>
      </c>
      <c r="M23" s="12">
        <v>7.4049931320855267</v>
      </c>
      <c r="N23" s="12">
        <v>21.719325703807609</v>
      </c>
      <c r="O23" s="13">
        <v>940.88815988508907</v>
      </c>
      <c r="P23" s="10" t="s">
        <v>172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-591.86691309355069</v>
      </c>
      <c r="V23" s="11">
        <v>-3.212870878150802</v>
      </c>
      <c r="W23" s="12">
        <v>-9.9717024702993982</v>
      </c>
      <c r="X23" s="12">
        <v>-1.7351198561034313</v>
      </c>
      <c r="Y23" s="13">
        <v>-36.298255114733266</v>
      </c>
      <c r="Z23" s="10" t="s">
        <v>172</v>
      </c>
      <c r="AA23" s="28" t="s">
        <v>3</v>
      </c>
      <c r="AB23" s="17">
        <v>132085.184088537</v>
      </c>
      <c r="AC23" s="18">
        <v>102209.28792734069</v>
      </c>
      <c r="AD23" s="18">
        <v>94484.002380458827</v>
      </c>
      <c r="AE23" s="19">
        <v>8249.6304758735569</v>
      </c>
      <c r="AF23" s="145">
        <f t="shared" si="0"/>
        <v>143.80166567909347</v>
      </c>
      <c r="AG23" s="146">
        <f t="shared" si="1"/>
        <v>962.60748558889668</v>
      </c>
    </row>
    <row r="24" spans="1:33" x14ac:dyDescent="0.3">
      <c r="A24" s="37">
        <v>5</v>
      </c>
      <c r="B24" s="38">
        <v>2020</v>
      </c>
      <c r="C24" s="31" t="s">
        <v>172</v>
      </c>
      <c r="D24" s="28" t="s">
        <v>4</v>
      </c>
      <c r="E24" s="11">
        <v>44.923461593084561</v>
      </c>
      <c r="F24" s="12">
        <v>87.229132483929419</v>
      </c>
      <c r="G24" s="12">
        <v>7.7279261309773712</v>
      </c>
      <c r="H24" s="13">
        <v>1139.419906054442</v>
      </c>
      <c r="I24" s="10" t="s">
        <v>172</v>
      </c>
      <c r="J24" s="28" t="s">
        <v>4</v>
      </c>
      <c r="K24" s="11">
        <v>26.161685285991801</v>
      </c>
      <c r="L24" s="12">
        <v>57.628032535832332</v>
      </c>
      <c r="M24" s="12">
        <v>6.1490042515185834</v>
      </c>
      <c r="N24" s="12">
        <v>24.703602215158948</v>
      </c>
      <c r="O24" s="13">
        <v>1078.4170487245499</v>
      </c>
      <c r="P24" s="10" t="s">
        <v>172</v>
      </c>
      <c r="Q24" s="28" t="s">
        <v>4</v>
      </c>
      <c r="R24" s="17">
        <v>1E-3</v>
      </c>
      <c r="S24" s="18">
        <v>1E-3</v>
      </c>
      <c r="T24" s="18">
        <v>1E-3</v>
      </c>
      <c r="U24" s="18">
        <v>1E-3</v>
      </c>
      <c r="V24" s="11">
        <v>18.762776307092768</v>
      </c>
      <c r="W24" s="12">
        <v>29.602099948097081</v>
      </c>
      <c r="X24" s="12">
        <v>1.5799218794587868</v>
      </c>
      <c r="Y24" s="13">
        <v>36.300255114733261</v>
      </c>
      <c r="Z24" s="10" t="s">
        <v>172</v>
      </c>
      <c r="AA24" s="28" t="s">
        <v>4</v>
      </c>
      <c r="AB24" s="17">
        <v>131225.34645291159</v>
      </c>
      <c r="AC24" s="18">
        <v>98664.07546335482</v>
      </c>
      <c r="AD24" s="18">
        <v>92930.407171425322</v>
      </c>
      <c r="AE24" s="19">
        <v>7730.5474560407501</v>
      </c>
      <c r="AF24" s="145">
        <f t="shared" si="0"/>
        <v>89.938722073342717</v>
      </c>
      <c r="AG24" s="146">
        <f t="shared" si="1"/>
        <v>1103.1206509397089</v>
      </c>
    </row>
    <row r="25" spans="1:33" x14ac:dyDescent="0.3">
      <c r="A25" s="37">
        <v>6</v>
      </c>
      <c r="B25" s="38">
        <v>2020</v>
      </c>
      <c r="C25" s="31" t="s">
        <v>172</v>
      </c>
      <c r="D25" s="28" t="s">
        <v>5</v>
      </c>
      <c r="E25" s="11">
        <v>5.6442318207418873</v>
      </c>
      <c r="F25" s="12">
        <v>268.07534515909248</v>
      </c>
      <c r="G25" s="12">
        <v>29.909849317223195</v>
      </c>
      <c r="H25" s="13">
        <v>413.43729707125021</v>
      </c>
      <c r="I25" s="10" t="s">
        <v>172</v>
      </c>
      <c r="J25" s="28" t="s">
        <v>5</v>
      </c>
      <c r="K25" s="11">
        <v>32.434357199703896</v>
      </c>
      <c r="L25" s="12">
        <v>210.91559975283252</v>
      </c>
      <c r="M25" s="12">
        <v>25.999007399616598</v>
      </c>
      <c r="N25" s="12">
        <v>38.710749424991839</v>
      </c>
      <c r="O25" s="13">
        <v>2593.5559905542232</v>
      </c>
      <c r="P25" s="10" t="s">
        <v>172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-2218.8284429079645</v>
      </c>
      <c r="V25" s="11">
        <v>-26.789125378961987</v>
      </c>
      <c r="W25" s="12">
        <v>57.16074540625997</v>
      </c>
      <c r="X25" s="12">
        <v>3.9118419176066332</v>
      </c>
      <c r="Y25" s="13">
        <v>1E-3</v>
      </c>
      <c r="Z25" s="10" t="s">
        <v>172</v>
      </c>
      <c r="AA25" s="28" t="s">
        <v>5</v>
      </c>
      <c r="AB25" s="17">
        <v>132737.59685337369</v>
      </c>
      <c r="AC25" s="18">
        <v>102556.83309567698</v>
      </c>
      <c r="AD25" s="18">
        <v>91837.278734691266</v>
      </c>
      <c r="AE25" s="19">
        <v>7390.073175190515</v>
      </c>
      <c r="AF25" s="145">
        <f t="shared" si="0"/>
        <v>269.34896435215302</v>
      </c>
      <c r="AG25" s="146">
        <f t="shared" si="1"/>
        <v>2632.2667399792149</v>
      </c>
    </row>
    <row r="26" spans="1:33" ht="16.2" thickBot="1" x14ac:dyDescent="0.35">
      <c r="A26" s="39">
        <v>7</v>
      </c>
      <c r="B26" s="54">
        <v>2020</v>
      </c>
      <c r="C26" s="32" t="s">
        <v>172</v>
      </c>
      <c r="D26" s="29" t="s">
        <v>6</v>
      </c>
      <c r="E26" s="21">
        <v>150.17043702832694</v>
      </c>
      <c r="F26" s="22">
        <v>106.02349868091696</v>
      </c>
      <c r="G26" s="22">
        <v>10.330725884559365</v>
      </c>
      <c r="H26" s="23">
        <v>177.93136130503959</v>
      </c>
      <c r="I26" s="20" t="s">
        <v>172</v>
      </c>
      <c r="J26" s="29" t="s">
        <v>6</v>
      </c>
      <c r="K26" s="21">
        <v>154.62187789796678</v>
      </c>
      <c r="L26" s="22">
        <v>109.8583116571634</v>
      </c>
      <c r="M26" s="22">
        <v>11.803124320597314</v>
      </c>
      <c r="N26" s="22">
        <v>30.048631221163603</v>
      </c>
      <c r="O26" s="23">
        <v>1837.3229787527944</v>
      </c>
      <c r="P26" s="20" t="s">
        <v>172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-1689.4392486689183</v>
      </c>
      <c r="V26" s="21">
        <v>-4.4504408696398512</v>
      </c>
      <c r="W26" s="22">
        <v>-3.8338129762464193</v>
      </c>
      <c r="X26" s="22">
        <v>-1.4713984360379513</v>
      </c>
      <c r="Y26" s="23">
        <v>1E-3</v>
      </c>
      <c r="Z26" s="20" t="s">
        <v>172</v>
      </c>
      <c r="AA26" s="29" t="s">
        <v>6</v>
      </c>
      <c r="AB26" s="24">
        <v>132709.12790273965</v>
      </c>
      <c r="AC26" s="25">
        <v>102443.73786768832</v>
      </c>
      <c r="AD26" s="25">
        <v>92252.255372127038</v>
      </c>
      <c r="AE26" s="26">
        <v>7382.16302837074</v>
      </c>
      <c r="AF26" s="147">
        <f t="shared" si="0"/>
        <v>276.28331387572752</v>
      </c>
      <c r="AG26" s="148">
        <f t="shared" si="1"/>
        <v>1867.3716099739579</v>
      </c>
    </row>
    <row r="27" spans="1:33" x14ac:dyDescent="0.3">
      <c r="A27" s="35">
        <v>1</v>
      </c>
      <c r="B27" s="36">
        <v>2021</v>
      </c>
      <c r="C27" s="33" t="s">
        <v>173</v>
      </c>
      <c r="D27" s="27" t="s">
        <v>0</v>
      </c>
      <c r="E27" s="7">
        <v>245.98371454400709</v>
      </c>
      <c r="F27" s="8">
        <v>91.494260652669624</v>
      </c>
      <c r="G27" s="8">
        <v>9.9577774093088784</v>
      </c>
      <c r="H27" s="9">
        <v>1709.8366753428695</v>
      </c>
      <c r="I27" s="6" t="s">
        <v>173</v>
      </c>
      <c r="J27" s="27" t="s">
        <v>0</v>
      </c>
      <c r="K27" s="7">
        <v>169.97277186945311</v>
      </c>
      <c r="L27" s="8">
        <v>79.730490553682088</v>
      </c>
      <c r="M27" s="8">
        <v>9.9054700490661318</v>
      </c>
      <c r="N27" s="8">
        <v>61.145209362200987</v>
      </c>
      <c r="O27" s="9">
        <v>2281.5608222365445</v>
      </c>
      <c r="P27" s="6" t="s">
        <v>173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-632.86835625587594</v>
      </c>
      <c r="V27" s="7">
        <v>76.011942674554021</v>
      </c>
      <c r="W27" s="8">
        <v>11.764770098987524</v>
      </c>
      <c r="X27" s="8">
        <v>5.3307360242745447E-2</v>
      </c>
      <c r="Y27" s="9">
        <v>1E-3</v>
      </c>
      <c r="Z27" s="6" t="s">
        <v>173</v>
      </c>
      <c r="AA27" s="27" t="s">
        <v>0</v>
      </c>
      <c r="AB27" s="14">
        <v>136698.74209447537</v>
      </c>
      <c r="AC27" s="15">
        <v>106437.51910141608</v>
      </c>
      <c r="AD27" s="15">
        <v>95261.310478550542</v>
      </c>
      <c r="AE27" s="16">
        <v>8132.8808152698693</v>
      </c>
      <c r="AF27" s="143">
        <f t="shared" si="0"/>
        <v>259.60873247220132</v>
      </c>
      <c r="AG27" s="144">
        <f t="shared" si="1"/>
        <v>2342.7060315987455</v>
      </c>
    </row>
    <row r="28" spans="1:33" x14ac:dyDescent="0.3">
      <c r="A28" s="37">
        <v>2</v>
      </c>
      <c r="B28" s="38">
        <v>2021</v>
      </c>
      <c r="C28" s="31" t="s">
        <v>173</v>
      </c>
      <c r="D28" s="28" t="s">
        <v>1</v>
      </c>
      <c r="E28" s="11">
        <v>13.255388210500005</v>
      </c>
      <c r="F28" s="12">
        <v>352.87773426931767</v>
      </c>
      <c r="G28" s="12">
        <v>39.265946749904906</v>
      </c>
      <c r="H28" s="13">
        <v>359.2628225684299</v>
      </c>
      <c r="I28" s="10" t="s">
        <v>173</v>
      </c>
      <c r="J28" s="28" t="s">
        <v>1</v>
      </c>
      <c r="K28" s="11">
        <v>78.183297312624049</v>
      </c>
      <c r="L28" s="12">
        <v>444.29394193606538</v>
      </c>
      <c r="M28" s="12">
        <v>41.152874840856029</v>
      </c>
      <c r="N28" s="12">
        <v>39.954002869369383</v>
      </c>
      <c r="O28" s="13">
        <v>3443.919173791885</v>
      </c>
      <c r="P28" s="10" t="s">
        <v>173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-3124.6093540928241</v>
      </c>
      <c r="V28" s="11">
        <v>-64.9269091021241</v>
      </c>
      <c r="W28" s="12">
        <v>-91.41520766674779</v>
      </c>
      <c r="X28" s="12">
        <v>-1.885928090951128</v>
      </c>
      <c r="Y28" s="13">
        <v>1E-3</v>
      </c>
      <c r="Z28" s="10" t="s">
        <v>173</v>
      </c>
      <c r="AA28" s="28" t="s">
        <v>1</v>
      </c>
      <c r="AB28" s="17">
        <v>138066.47311714917</v>
      </c>
      <c r="AC28" s="18">
        <v>106057.36441779678</v>
      </c>
      <c r="AD28" s="18">
        <v>96537.157099249074</v>
      </c>
      <c r="AE28" s="19">
        <v>7769.1567032821094</v>
      </c>
      <c r="AF28" s="145">
        <f t="shared" si="0"/>
        <v>563.63011408954549</v>
      </c>
      <c r="AG28" s="146">
        <f t="shared" si="1"/>
        <v>3483.8731766612545</v>
      </c>
    </row>
    <row r="29" spans="1:33" x14ac:dyDescent="0.3">
      <c r="A29" s="37">
        <v>3</v>
      </c>
      <c r="B29" s="38">
        <v>2021</v>
      </c>
      <c r="C29" s="31" t="s">
        <v>173</v>
      </c>
      <c r="D29" s="28" t="s">
        <v>2</v>
      </c>
      <c r="E29" s="11">
        <v>90.853983478027473</v>
      </c>
      <c r="F29" s="12">
        <v>97.476852820203803</v>
      </c>
      <c r="G29" s="12">
        <v>7.4668501987231082</v>
      </c>
      <c r="H29" s="13">
        <v>461.81701873000532</v>
      </c>
      <c r="I29" s="10" t="s">
        <v>173</v>
      </c>
      <c r="J29" s="28" t="s">
        <v>2</v>
      </c>
      <c r="K29" s="11">
        <v>86.013639422399351</v>
      </c>
      <c r="L29" s="12">
        <v>97.488897332399489</v>
      </c>
      <c r="M29" s="12">
        <v>8.4932034793046949</v>
      </c>
      <c r="N29" s="12">
        <v>47.020446791147393</v>
      </c>
      <c r="O29" s="13">
        <v>1417.8508409799219</v>
      </c>
      <c r="P29" s="10" t="s">
        <v>173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-1003.0532690410639</v>
      </c>
      <c r="V29" s="11">
        <v>4.8413440556280944</v>
      </c>
      <c r="W29" s="12">
        <v>-1.1044512195696608E-2</v>
      </c>
      <c r="X29" s="12">
        <v>-1.0253532805815861</v>
      </c>
      <c r="Y29" s="13">
        <v>1E-3</v>
      </c>
      <c r="Z29" s="10" t="s">
        <v>173</v>
      </c>
      <c r="AA29" s="28" t="s">
        <v>2</v>
      </c>
      <c r="AB29" s="17">
        <v>136689.13449185601</v>
      </c>
      <c r="AC29" s="18">
        <v>105876.50721173272</v>
      </c>
      <c r="AD29" s="18">
        <v>97878.471242831365</v>
      </c>
      <c r="AE29" s="19">
        <v>8164.1185621549512</v>
      </c>
      <c r="AF29" s="145">
        <f t="shared" si="0"/>
        <v>191.99574023410352</v>
      </c>
      <c r="AG29" s="146">
        <f t="shared" si="1"/>
        <v>1464.8712877710693</v>
      </c>
    </row>
    <row r="30" spans="1:33" x14ac:dyDescent="0.3">
      <c r="A30" s="37">
        <v>4</v>
      </c>
      <c r="B30" s="38">
        <v>2021</v>
      </c>
      <c r="C30" s="31" t="s">
        <v>173</v>
      </c>
      <c r="D30" s="28" t="s">
        <v>3</v>
      </c>
      <c r="E30" s="11">
        <v>58.969657611738398</v>
      </c>
      <c r="F30" s="12">
        <v>69.157794897664076</v>
      </c>
      <c r="G30" s="12">
        <v>6.0173277050712128</v>
      </c>
      <c r="H30" s="13">
        <v>348.01934799225461</v>
      </c>
      <c r="I30" s="10" t="s">
        <v>173</v>
      </c>
      <c r="J30" s="28" t="s">
        <v>3</v>
      </c>
      <c r="K30" s="11">
        <v>62.18322726660049</v>
      </c>
      <c r="L30" s="12">
        <v>79.696520129499646</v>
      </c>
      <c r="M30" s="12">
        <v>7.8557003768387519</v>
      </c>
      <c r="N30" s="12">
        <v>22.074307260969729</v>
      </c>
      <c r="O30" s="13">
        <v>989.97147564506122</v>
      </c>
      <c r="P30" s="10" t="s">
        <v>173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-634.56485549780359</v>
      </c>
      <c r="V30" s="11">
        <v>-3.2125696548620994</v>
      </c>
      <c r="W30" s="12">
        <v>-10.537725231835573</v>
      </c>
      <c r="X30" s="12">
        <v>-1.8373726717675729</v>
      </c>
      <c r="Y30" s="13">
        <v>-29.459579415972712</v>
      </c>
      <c r="Z30" s="10" t="s">
        <v>173</v>
      </c>
      <c r="AA30" s="28" t="s">
        <v>3</v>
      </c>
      <c r="AB30" s="17">
        <v>139541.64283063059</v>
      </c>
      <c r="AC30" s="18">
        <v>105724.09359382138</v>
      </c>
      <c r="AD30" s="18">
        <v>97116.900768190608</v>
      </c>
      <c r="AE30" s="19">
        <v>8505.6259350381606</v>
      </c>
      <c r="AF30" s="145">
        <f t="shared" si="0"/>
        <v>149.73544777293887</v>
      </c>
      <c r="AG30" s="146">
        <f t="shared" si="1"/>
        <v>1012.0457829060309</v>
      </c>
    </row>
    <row r="31" spans="1:33" x14ac:dyDescent="0.3">
      <c r="A31" s="37">
        <v>5</v>
      </c>
      <c r="B31" s="38">
        <v>2021</v>
      </c>
      <c r="C31" s="31" t="s">
        <v>173</v>
      </c>
      <c r="D31" s="28" t="s">
        <v>4</v>
      </c>
      <c r="E31" s="11">
        <v>46.282291996328439</v>
      </c>
      <c r="F31" s="12">
        <v>91.394454807956379</v>
      </c>
      <c r="G31" s="12">
        <v>8.2043540768906826</v>
      </c>
      <c r="H31" s="13">
        <v>1189.6584210634139</v>
      </c>
      <c r="I31" s="10" t="s">
        <v>173</v>
      </c>
      <c r="J31" s="28" t="s">
        <v>4</v>
      </c>
      <c r="K31" s="11">
        <v>26.617263636247262</v>
      </c>
      <c r="L31" s="12">
        <v>60.276143577276315</v>
      </c>
      <c r="M31" s="12">
        <v>6.5741213551901012</v>
      </c>
      <c r="N31" s="12">
        <v>26.366093256420342</v>
      </c>
      <c r="O31" s="13">
        <v>1133.8317483910209</v>
      </c>
      <c r="P31" s="10" t="s">
        <v>173</v>
      </c>
      <c r="Q31" s="28" t="s">
        <v>4</v>
      </c>
      <c r="R31" s="17">
        <v>1E-3</v>
      </c>
      <c r="S31" s="18">
        <v>1E-3</v>
      </c>
      <c r="T31" s="18">
        <v>1E-3</v>
      </c>
      <c r="U31" s="18">
        <v>1E-3</v>
      </c>
      <c r="V31" s="11">
        <v>19.666028360081178</v>
      </c>
      <c r="W31" s="12">
        <v>31.119311230680072</v>
      </c>
      <c r="X31" s="12">
        <v>1.6312327217005798</v>
      </c>
      <c r="Y31" s="13">
        <v>29.461579415972714</v>
      </c>
      <c r="Z31" s="10" t="s">
        <v>173</v>
      </c>
      <c r="AA31" s="28" t="s">
        <v>4</v>
      </c>
      <c r="AB31" s="17">
        <v>138642.3645010523</v>
      </c>
      <c r="AC31" s="18">
        <v>102053.82021048633</v>
      </c>
      <c r="AD31" s="18">
        <v>95565.127198396731</v>
      </c>
      <c r="AE31" s="19">
        <v>7997.9935872716987</v>
      </c>
      <c r="AF31" s="145">
        <f t="shared" si="0"/>
        <v>93.467528568713675</v>
      </c>
      <c r="AG31" s="146">
        <f t="shared" si="1"/>
        <v>1160.1978416474412</v>
      </c>
    </row>
    <row r="32" spans="1:33" x14ac:dyDescent="0.3">
      <c r="A32" s="37">
        <v>6</v>
      </c>
      <c r="B32" s="38">
        <v>2021</v>
      </c>
      <c r="C32" s="31" t="s">
        <v>173</v>
      </c>
      <c r="D32" s="28" t="s">
        <v>5</v>
      </c>
      <c r="E32" s="11">
        <v>5.8125156880481459</v>
      </c>
      <c r="F32" s="12">
        <v>281.04351909210015</v>
      </c>
      <c r="G32" s="12">
        <v>31.776756460425258</v>
      </c>
      <c r="H32" s="13">
        <v>431.2248474956391</v>
      </c>
      <c r="I32" s="10" t="s">
        <v>173</v>
      </c>
      <c r="J32" s="28" t="s">
        <v>5</v>
      </c>
      <c r="K32" s="11">
        <v>32.233184348965047</v>
      </c>
      <c r="L32" s="12">
        <v>217.76520329726202</v>
      </c>
      <c r="M32" s="12">
        <v>27.277310926851399</v>
      </c>
      <c r="N32" s="12">
        <v>41.418501425537727</v>
      </c>
      <c r="O32" s="13">
        <v>2744.6202929604824</v>
      </c>
      <c r="P32" s="10" t="s">
        <v>173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-2354.8129468903803</v>
      </c>
      <c r="V32" s="11">
        <v>-26.419668660916646</v>
      </c>
      <c r="W32" s="12">
        <v>63.279315794838119</v>
      </c>
      <c r="X32" s="12">
        <v>4.5004455335738882</v>
      </c>
      <c r="Y32" s="13">
        <v>1E-3</v>
      </c>
      <c r="Z32" s="10" t="s">
        <v>173</v>
      </c>
      <c r="AA32" s="28" t="s">
        <v>5</v>
      </c>
      <c r="AB32" s="17">
        <v>140169.12654102242</v>
      </c>
      <c r="AC32" s="18">
        <v>106164.5648262332</v>
      </c>
      <c r="AD32" s="18">
        <v>94472.430038061168</v>
      </c>
      <c r="AE32" s="19">
        <v>7645.755248861964</v>
      </c>
      <c r="AF32" s="145">
        <f t="shared" si="0"/>
        <v>277.27569857307844</v>
      </c>
      <c r="AG32" s="146">
        <f t="shared" si="1"/>
        <v>2786.0387943860201</v>
      </c>
    </row>
    <row r="33" spans="1:33" ht="16.2" thickBot="1" x14ac:dyDescent="0.35">
      <c r="A33" s="39">
        <v>7</v>
      </c>
      <c r="B33" s="54">
        <v>2021</v>
      </c>
      <c r="C33" s="32" t="s">
        <v>173</v>
      </c>
      <c r="D33" s="29" t="s">
        <v>6</v>
      </c>
      <c r="E33" s="21">
        <v>154.64965299635742</v>
      </c>
      <c r="F33" s="22">
        <v>111.12903479521091</v>
      </c>
      <c r="G33" s="22">
        <v>10.974537946995092</v>
      </c>
      <c r="H33" s="23">
        <v>185.57092646754302</v>
      </c>
      <c r="I33" s="20" t="s">
        <v>173</v>
      </c>
      <c r="J33" s="29" t="s">
        <v>6</v>
      </c>
      <c r="K33" s="21">
        <v>160.60382066871784</v>
      </c>
      <c r="L33" s="22">
        <v>115.3224545089376</v>
      </c>
      <c r="M33" s="22">
        <v>12.404869519212017</v>
      </c>
      <c r="N33" s="22">
        <v>30.937139036021641</v>
      </c>
      <c r="O33" s="23">
        <v>1925.5138942656954</v>
      </c>
      <c r="P33" s="20" t="s">
        <v>173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-1770.8791068341736</v>
      </c>
      <c r="V33" s="21">
        <v>-5.953167672360431</v>
      </c>
      <c r="W33" s="22">
        <v>-4.1924197137266619</v>
      </c>
      <c r="X33" s="22">
        <v>-1.4293315722169269</v>
      </c>
      <c r="Y33" s="23">
        <v>1E-3</v>
      </c>
      <c r="Z33" s="20" t="s">
        <v>173</v>
      </c>
      <c r="AA33" s="29" t="s">
        <v>6</v>
      </c>
      <c r="AB33" s="24">
        <v>140088.24919687957</v>
      </c>
      <c r="AC33" s="25">
        <v>105900.61320326835</v>
      </c>
      <c r="AD33" s="25">
        <v>94882.637189278321</v>
      </c>
      <c r="AE33" s="26">
        <v>7638.2012672831406</v>
      </c>
      <c r="AF33" s="147">
        <f t="shared" si="0"/>
        <v>288.33114469686745</v>
      </c>
      <c r="AG33" s="148">
        <f t="shared" si="1"/>
        <v>1956.451033301717</v>
      </c>
    </row>
    <row r="34" spans="1:33" x14ac:dyDescent="0.3">
      <c r="A34" s="35">
        <v>1</v>
      </c>
      <c r="B34" s="36">
        <v>2022</v>
      </c>
      <c r="C34" s="33" t="s">
        <v>174</v>
      </c>
      <c r="D34" s="27" t="s">
        <v>0</v>
      </c>
      <c r="E34" s="7">
        <v>253.56589063170654</v>
      </c>
      <c r="F34" s="8">
        <v>96.460200762577443</v>
      </c>
      <c r="G34" s="8">
        <v>10.659276005324932</v>
      </c>
      <c r="H34" s="9">
        <v>1781.7477501604621</v>
      </c>
      <c r="I34" s="6" t="s">
        <v>174</v>
      </c>
      <c r="J34" s="27" t="s">
        <v>0</v>
      </c>
      <c r="K34" s="7">
        <v>174.59566770358552</v>
      </c>
      <c r="L34" s="8">
        <v>83.937357326516647</v>
      </c>
      <c r="M34" s="8">
        <v>10.563691109925752</v>
      </c>
      <c r="N34" s="8">
        <v>61.893050768850642</v>
      </c>
      <c r="O34" s="9">
        <v>2386.9963476708358</v>
      </c>
      <c r="P34" s="6" t="s">
        <v>174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-667.1406482792238</v>
      </c>
      <c r="V34" s="7">
        <v>78.97122292812098</v>
      </c>
      <c r="W34" s="8">
        <v>12.523843436060774</v>
      </c>
      <c r="X34" s="8">
        <v>9.658489539917664E-2</v>
      </c>
      <c r="Y34" s="9">
        <v>1E-3</v>
      </c>
      <c r="Z34" s="6" t="s">
        <v>174</v>
      </c>
      <c r="AA34" s="27" t="s">
        <v>0</v>
      </c>
      <c r="AB34" s="14">
        <v>144365.81745418161</v>
      </c>
      <c r="AC34" s="15">
        <v>109353.6801803791</v>
      </c>
      <c r="AD34" s="15">
        <v>97051.517991848377</v>
      </c>
      <c r="AE34" s="16">
        <v>8396.6345563220584</v>
      </c>
      <c r="AF34" s="143">
        <f t="shared" si="0"/>
        <v>269.09671614002792</v>
      </c>
      <c r="AG34" s="144">
        <f t="shared" si="1"/>
        <v>2448.8893984396864</v>
      </c>
    </row>
    <row r="35" spans="1:33" x14ac:dyDescent="0.3">
      <c r="A35" s="37">
        <v>2</v>
      </c>
      <c r="B35" s="38">
        <v>2022</v>
      </c>
      <c r="C35" s="31" t="s">
        <v>174</v>
      </c>
      <c r="D35" s="28" t="s">
        <v>1</v>
      </c>
      <c r="E35" s="11">
        <v>13.659237246318069</v>
      </c>
      <c r="F35" s="12">
        <v>371.8221282664299</v>
      </c>
      <c r="G35" s="12">
        <v>42.023308408100561</v>
      </c>
      <c r="H35" s="13">
        <v>374.68472894202512</v>
      </c>
      <c r="I35" s="10" t="s">
        <v>174</v>
      </c>
      <c r="J35" s="28" t="s">
        <v>1</v>
      </c>
      <c r="K35" s="11">
        <v>80.184457208825037</v>
      </c>
      <c r="L35" s="12">
        <v>470.30485603065677</v>
      </c>
      <c r="M35" s="12">
        <v>44.301979318089657</v>
      </c>
      <c r="N35" s="12">
        <v>40.302346286995331</v>
      </c>
      <c r="O35" s="13">
        <v>3654.1852023167298</v>
      </c>
      <c r="P35" s="10" t="s">
        <v>174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-3319.8018196617004</v>
      </c>
      <c r="V35" s="11">
        <v>-66.524219962506862</v>
      </c>
      <c r="W35" s="12">
        <v>-98.481727764226804</v>
      </c>
      <c r="X35" s="12">
        <v>-2.2776709099890984</v>
      </c>
      <c r="Y35" s="13">
        <v>1E-3</v>
      </c>
      <c r="Z35" s="10" t="s">
        <v>174</v>
      </c>
      <c r="AA35" s="28" t="s">
        <v>1</v>
      </c>
      <c r="AB35" s="17">
        <v>145759.65715613303</v>
      </c>
      <c r="AC35" s="18">
        <v>108903.47852812694</v>
      </c>
      <c r="AD35" s="18">
        <v>98327.909072687675</v>
      </c>
      <c r="AE35" s="19">
        <v>8033.0037347721418</v>
      </c>
      <c r="AF35" s="145">
        <f t="shared" si="0"/>
        <v>594.79129255757152</v>
      </c>
      <c r="AG35" s="146">
        <f t="shared" si="1"/>
        <v>3694.4875486037254</v>
      </c>
    </row>
    <row r="36" spans="1:33" x14ac:dyDescent="0.3">
      <c r="A36" s="37">
        <v>3</v>
      </c>
      <c r="B36" s="38">
        <v>2022</v>
      </c>
      <c r="C36" s="31" t="s">
        <v>174</v>
      </c>
      <c r="D36" s="28" t="s">
        <v>2</v>
      </c>
      <c r="E36" s="11">
        <v>93.636062118253875</v>
      </c>
      <c r="F36" s="12">
        <v>102.94874639318121</v>
      </c>
      <c r="G36" s="12">
        <v>7.989839703242513</v>
      </c>
      <c r="H36" s="13">
        <v>481.28592549707332</v>
      </c>
      <c r="I36" s="10" t="s">
        <v>174</v>
      </c>
      <c r="J36" s="28" t="s">
        <v>2</v>
      </c>
      <c r="K36" s="11">
        <v>89.934233103362885</v>
      </c>
      <c r="L36" s="12">
        <v>104.81795602312044</v>
      </c>
      <c r="M36" s="12">
        <v>9.2767904444487854</v>
      </c>
      <c r="N36" s="12">
        <v>49.232064126092652</v>
      </c>
      <c r="O36" s="13">
        <v>1492.7396716957646</v>
      </c>
      <c r="P36" s="10" t="s">
        <v>174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-1060.6848103247839</v>
      </c>
      <c r="V36" s="11">
        <v>3.7028290148911314</v>
      </c>
      <c r="W36" s="12">
        <v>-1.8682096299392295</v>
      </c>
      <c r="X36" s="12">
        <v>-1.2859507412062732</v>
      </c>
      <c r="Y36" s="13">
        <v>1E-3</v>
      </c>
      <c r="Z36" s="10" t="s">
        <v>174</v>
      </c>
      <c r="AA36" s="28" t="s">
        <v>2</v>
      </c>
      <c r="AB36" s="17">
        <v>144363.11068916638</v>
      </c>
      <c r="AC36" s="18">
        <v>109041.14900235976</v>
      </c>
      <c r="AD36" s="18">
        <v>99667.969619323791</v>
      </c>
      <c r="AE36" s="19">
        <v>8427.9174372343496</v>
      </c>
      <c r="AF36" s="145">
        <f t="shared" si="0"/>
        <v>204.02897957093211</v>
      </c>
      <c r="AG36" s="146">
        <f t="shared" si="1"/>
        <v>1541.9717358218572</v>
      </c>
    </row>
    <row r="37" spans="1:33" x14ac:dyDescent="0.3">
      <c r="A37" s="37">
        <v>4</v>
      </c>
      <c r="B37" s="38">
        <v>2022</v>
      </c>
      <c r="C37" s="31" t="s">
        <v>174</v>
      </c>
      <c r="D37" s="28" t="s">
        <v>3</v>
      </c>
      <c r="E37" s="11">
        <v>60.74832648720443</v>
      </c>
      <c r="F37" s="12">
        <v>72.933706795250814</v>
      </c>
      <c r="G37" s="12">
        <v>6.4405850493654251</v>
      </c>
      <c r="H37" s="13">
        <v>363.59778622684047</v>
      </c>
      <c r="I37" s="10" t="s">
        <v>174</v>
      </c>
      <c r="J37" s="28" t="s">
        <v>3</v>
      </c>
      <c r="K37" s="11">
        <v>63.979184444667567</v>
      </c>
      <c r="L37" s="12">
        <v>83.976988086498238</v>
      </c>
      <c r="M37" s="12">
        <v>8.4019216150971268</v>
      </c>
      <c r="N37" s="12">
        <v>22.355092551715185</v>
      </c>
      <c r="O37" s="13">
        <v>1042.4297500721993</v>
      </c>
      <c r="P37" s="10" t="s">
        <v>174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-673.31933145109633</v>
      </c>
      <c r="V37" s="11">
        <v>-3.2298579574631376</v>
      </c>
      <c r="W37" s="12">
        <v>-11.042281291247422</v>
      </c>
      <c r="X37" s="12">
        <v>-1.9603365657317076</v>
      </c>
      <c r="Y37" s="13">
        <v>-27.865724945977963</v>
      </c>
      <c r="Z37" s="10" t="s">
        <v>174</v>
      </c>
      <c r="AA37" s="28" t="s">
        <v>3</v>
      </c>
      <c r="AB37" s="17">
        <v>147193.91538733555</v>
      </c>
      <c r="AC37" s="18">
        <v>108637.07843317669</v>
      </c>
      <c r="AD37" s="18">
        <v>98906.880820427978</v>
      </c>
      <c r="AE37" s="19">
        <v>8769.3734657658333</v>
      </c>
      <c r="AF37" s="145">
        <f t="shared" si="0"/>
        <v>156.35809414626294</v>
      </c>
      <c r="AG37" s="146">
        <f t="shared" si="1"/>
        <v>1064.7848426239145</v>
      </c>
    </row>
    <row r="38" spans="1:33" x14ac:dyDescent="0.3">
      <c r="A38" s="37">
        <v>5</v>
      </c>
      <c r="B38" s="38">
        <v>2022</v>
      </c>
      <c r="C38" s="31" t="s">
        <v>174</v>
      </c>
      <c r="D38" s="28" t="s">
        <v>4</v>
      </c>
      <c r="E38" s="11">
        <v>47.685031514159085</v>
      </c>
      <c r="F38" s="12">
        <v>96.352678937910383</v>
      </c>
      <c r="G38" s="12">
        <v>8.7817903000155475</v>
      </c>
      <c r="H38" s="13">
        <v>1244.601848640028</v>
      </c>
      <c r="I38" s="10" t="s">
        <v>174</v>
      </c>
      <c r="J38" s="28" t="s">
        <v>4</v>
      </c>
      <c r="K38" s="11">
        <v>27.073156099469184</v>
      </c>
      <c r="L38" s="12">
        <v>63.347109417180242</v>
      </c>
      <c r="M38" s="12">
        <v>7.0922616867340951</v>
      </c>
      <c r="N38" s="12">
        <v>27.927936542838076</v>
      </c>
      <c r="O38" s="13">
        <v>1195.8561853473557</v>
      </c>
      <c r="P38" s="10" t="s">
        <v>174</v>
      </c>
      <c r="Q38" s="28" t="s">
        <v>4</v>
      </c>
      <c r="R38" s="17">
        <v>1E-3</v>
      </c>
      <c r="S38" s="18">
        <v>1E-3</v>
      </c>
      <c r="T38" s="18">
        <v>1E-3</v>
      </c>
      <c r="U38" s="18">
        <v>-7.0479981961435465</v>
      </c>
      <c r="V38" s="11">
        <v>20.612875414689903</v>
      </c>
      <c r="W38" s="12">
        <v>33.006569520730139</v>
      </c>
      <c r="X38" s="12">
        <v>1.6905286132814523</v>
      </c>
      <c r="Y38" s="13">
        <v>27.867724945977965</v>
      </c>
      <c r="Z38" s="10" t="s">
        <v>174</v>
      </c>
      <c r="AA38" s="28" t="s">
        <v>4</v>
      </c>
      <c r="AB38" s="17">
        <v>146328.07495103148</v>
      </c>
      <c r="AC38" s="18">
        <v>104885.18452448482</v>
      </c>
      <c r="AD38" s="18">
        <v>97356.92188184768</v>
      </c>
      <c r="AE38" s="19">
        <v>8262.3462290024563</v>
      </c>
      <c r="AF38" s="145">
        <f t="shared" si="0"/>
        <v>97.512527203383513</v>
      </c>
      <c r="AG38" s="146">
        <f t="shared" si="1"/>
        <v>1223.7841218901938</v>
      </c>
    </row>
    <row r="39" spans="1:33" x14ac:dyDescent="0.3">
      <c r="A39" s="37">
        <v>6</v>
      </c>
      <c r="B39" s="38">
        <v>2022</v>
      </c>
      <c r="C39" s="31" t="s">
        <v>174</v>
      </c>
      <c r="D39" s="28" t="s">
        <v>5</v>
      </c>
      <c r="E39" s="11">
        <v>5.9862662525692087</v>
      </c>
      <c r="F39" s="12">
        <v>296.35400788603397</v>
      </c>
      <c r="G39" s="12">
        <v>34.018258022157795</v>
      </c>
      <c r="H39" s="13">
        <v>451.57146940415953</v>
      </c>
      <c r="I39" s="10" t="s">
        <v>174</v>
      </c>
      <c r="J39" s="28" t="s">
        <v>5</v>
      </c>
      <c r="K39" s="11">
        <v>32.023764251274123</v>
      </c>
      <c r="L39" s="12">
        <v>225.97852025858441</v>
      </c>
      <c r="M39" s="12">
        <v>28.871783897408658</v>
      </c>
      <c r="N39" s="12">
        <v>44.265040247210578</v>
      </c>
      <c r="O39" s="13">
        <v>2915.2619648391592</v>
      </c>
      <c r="P39" s="10" t="s">
        <v>174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-2507.95453568221</v>
      </c>
      <c r="V39" s="11">
        <v>-26.036497998704913</v>
      </c>
      <c r="W39" s="12">
        <v>70.376487627449649</v>
      </c>
      <c r="X39" s="12">
        <v>5.1474741247491167</v>
      </c>
      <c r="Y39" s="13">
        <v>1E-3</v>
      </c>
      <c r="Z39" s="10" t="s">
        <v>174</v>
      </c>
      <c r="AA39" s="28" t="s">
        <v>5</v>
      </c>
      <c r="AB39" s="17">
        <v>147872.8460397539</v>
      </c>
      <c r="AC39" s="18">
        <v>109169.28268628185</v>
      </c>
      <c r="AD39" s="18">
        <v>96264.764397677252</v>
      </c>
      <c r="AE39" s="19">
        <v>7909.2400347675066</v>
      </c>
      <c r="AF39" s="145">
        <f t="shared" si="0"/>
        <v>286.8740684072672</v>
      </c>
      <c r="AG39" s="146">
        <f t="shared" si="1"/>
        <v>2959.5270050863696</v>
      </c>
    </row>
    <row r="40" spans="1:33" ht="16.2" thickBot="1" x14ac:dyDescent="0.35">
      <c r="A40" s="39">
        <v>7</v>
      </c>
      <c r="B40" s="54">
        <v>2022</v>
      </c>
      <c r="C40" s="32" t="s">
        <v>174</v>
      </c>
      <c r="D40" s="29" t="s">
        <v>6</v>
      </c>
      <c r="E40" s="21">
        <v>159.27383622226793</v>
      </c>
      <c r="F40" s="22">
        <v>117.16598185834809</v>
      </c>
      <c r="G40" s="22">
        <v>11.747982320905981</v>
      </c>
      <c r="H40" s="23">
        <v>194.31242706898286</v>
      </c>
      <c r="I40" s="20" t="s">
        <v>174</v>
      </c>
      <c r="J40" s="29" t="s">
        <v>6</v>
      </c>
      <c r="K40" s="21">
        <v>166.76418766129504</v>
      </c>
      <c r="L40" s="22">
        <v>121.67466375717521</v>
      </c>
      <c r="M40" s="22">
        <v>13.152611737408648</v>
      </c>
      <c r="N40" s="22">
        <v>31.873632696841828</v>
      </c>
      <c r="O40" s="23">
        <v>2019.673617518765</v>
      </c>
      <c r="P40" s="20" t="s">
        <v>174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-1857.233823146624</v>
      </c>
      <c r="V40" s="21">
        <v>-7.4893514390270779</v>
      </c>
      <c r="W40" s="22">
        <v>-4.5076818988270997</v>
      </c>
      <c r="X40" s="22">
        <v>-1.4036294165026664</v>
      </c>
      <c r="Y40" s="23">
        <v>1E-3</v>
      </c>
      <c r="Z40" s="20" t="s">
        <v>174</v>
      </c>
      <c r="AA40" s="29" t="s">
        <v>6</v>
      </c>
      <c r="AB40" s="24">
        <v>147730.65905052287</v>
      </c>
      <c r="AC40" s="25">
        <v>108750.68331191242</v>
      </c>
      <c r="AD40" s="25">
        <v>96669.90632511719</v>
      </c>
      <c r="AE40" s="26">
        <v>7901.9796474868072</v>
      </c>
      <c r="AF40" s="147">
        <f t="shared" si="0"/>
        <v>301.59146315587884</v>
      </c>
      <c r="AG40" s="148">
        <f t="shared" si="1"/>
        <v>2051.5472502156067</v>
      </c>
    </row>
    <row r="41" spans="1:33" x14ac:dyDescent="0.3">
      <c r="A41" s="35">
        <v>1</v>
      </c>
      <c r="B41" s="36">
        <v>2023</v>
      </c>
      <c r="C41" s="33" t="s">
        <v>175</v>
      </c>
      <c r="D41" s="27" t="s">
        <v>0</v>
      </c>
      <c r="E41" s="7">
        <v>261.21649759546182</v>
      </c>
      <c r="F41" s="8">
        <v>102.26019276281269</v>
      </c>
      <c r="G41" s="8">
        <v>11.50146351635094</v>
      </c>
      <c r="H41" s="9">
        <v>1862.5430528806023</v>
      </c>
      <c r="I41" s="6" t="s">
        <v>175</v>
      </c>
      <c r="J41" s="27" t="s">
        <v>0</v>
      </c>
      <c r="K41" s="7">
        <v>179.44894160779648</v>
      </c>
      <c r="L41" s="8">
        <v>88.801466815142092</v>
      </c>
      <c r="M41" s="8">
        <v>11.358540456659171</v>
      </c>
      <c r="N41" s="8">
        <v>62.583136016971665</v>
      </c>
      <c r="O41" s="9">
        <v>2495.6181631260779</v>
      </c>
      <c r="P41" s="6" t="s">
        <v>175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-695.65724626244696</v>
      </c>
      <c r="V41" s="7">
        <v>81.76855598766538</v>
      </c>
      <c r="W41" s="8">
        <v>13.459725947670599</v>
      </c>
      <c r="X41" s="8">
        <v>0.14392305969176686</v>
      </c>
      <c r="Y41" s="9">
        <v>1E-3</v>
      </c>
      <c r="Z41" s="6" t="s">
        <v>175</v>
      </c>
      <c r="AA41" s="27" t="s">
        <v>0</v>
      </c>
      <c r="AB41" s="14">
        <v>152114.77381753188</v>
      </c>
      <c r="AC41" s="15">
        <v>111510.34258917492</v>
      </c>
      <c r="AD41" s="15">
        <v>97933.510096068829</v>
      </c>
      <c r="AE41" s="16">
        <v>8655.2644089301339</v>
      </c>
      <c r="AF41" s="143">
        <f t="shared" si="0"/>
        <v>279.60894887959773</v>
      </c>
      <c r="AG41" s="144">
        <f t="shared" si="1"/>
        <v>2558.2012991430497</v>
      </c>
    </row>
    <row r="42" spans="1:33" x14ac:dyDescent="0.3">
      <c r="A42" s="37">
        <v>2</v>
      </c>
      <c r="B42" s="38">
        <v>2023</v>
      </c>
      <c r="C42" s="31" t="s">
        <v>175</v>
      </c>
      <c r="D42" s="28" t="s">
        <v>1</v>
      </c>
      <c r="E42" s="11">
        <v>14.067187030274294</v>
      </c>
      <c r="F42" s="12">
        <v>394.05532548455142</v>
      </c>
      <c r="G42" s="12">
        <v>45.337022684965177</v>
      </c>
      <c r="H42" s="13">
        <v>391.97343992653015</v>
      </c>
      <c r="I42" s="10" t="s">
        <v>175</v>
      </c>
      <c r="J42" s="28" t="s">
        <v>1</v>
      </c>
      <c r="K42" s="11">
        <v>82.283747168059506</v>
      </c>
      <c r="L42" s="12">
        <v>500.02405836273016</v>
      </c>
      <c r="M42" s="12">
        <v>48.025511874469217</v>
      </c>
      <c r="N42" s="12">
        <v>40.947110130512527</v>
      </c>
      <c r="O42" s="13">
        <v>3890.7929409459834</v>
      </c>
      <c r="P42" s="10" t="s">
        <v>175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-3539.7656111499655</v>
      </c>
      <c r="V42" s="11">
        <v>-68.215560137785161</v>
      </c>
      <c r="W42" s="12">
        <v>-105.96773287817902</v>
      </c>
      <c r="X42" s="12">
        <v>-2.6874891895040149</v>
      </c>
      <c r="Y42" s="13">
        <v>1E-3</v>
      </c>
      <c r="Z42" s="10" t="s">
        <v>175</v>
      </c>
      <c r="AA42" s="28" t="s">
        <v>1</v>
      </c>
      <c r="AB42" s="17">
        <v>153538.73825238991</v>
      </c>
      <c r="AC42" s="18">
        <v>111033.13243452624</v>
      </c>
      <c r="AD42" s="18">
        <v>99210.375926132765</v>
      </c>
      <c r="AE42" s="19">
        <v>8291.7225082121404</v>
      </c>
      <c r="AF42" s="145">
        <f t="shared" si="0"/>
        <v>630.33331740525887</v>
      </c>
      <c r="AG42" s="146">
        <f t="shared" si="1"/>
        <v>3931.740051076496</v>
      </c>
    </row>
    <row r="43" spans="1:33" x14ac:dyDescent="0.3">
      <c r="A43" s="37">
        <v>3</v>
      </c>
      <c r="B43" s="38">
        <v>2023</v>
      </c>
      <c r="C43" s="31" t="s">
        <v>175</v>
      </c>
      <c r="D43" s="28" t="s">
        <v>2</v>
      </c>
      <c r="E43" s="11">
        <v>96.678430785671637</v>
      </c>
      <c r="F43" s="12">
        <v>109.08061993147632</v>
      </c>
      <c r="G43" s="12">
        <v>8.6196115398619426</v>
      </c>
      <c r="H43" s="13">
        <v>503.10101037192942</v>
      </c>
      <c r="I43" s="10" t="s">
        <v>175</v>
      </c>
      <c r="J43" s="28" t="s">
        <v>2</v>
      </c>
      <c r="K43" s="11">
        <v>93.765429762744802</v>
      </c>
      <c r="L43" s="12">
        <v>113.69229059965144</v>
      </c>
      <c r="M43" s="12">
        <v>10.215382706661996</v>
      </c>
      <c r="N43" s="12">
        <v>51.159644819107939</v>
      </c>
      <c r="O43" s="13">
        <v>1572.4235529702487</v>
      </c>
      <c r="P43" s="10" t="s">
        <v>175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-1120.4811874174272</v>
      </c>
      <c r="V43" s="11">
        <v>2.9140010229268394</v>
      </c>
      <c r="W43" s="12">
        <v>-4.6106706681751426</v>
      </c>
      <c r="X43" s="12">
        <v>-1.5947711668000524</v>
      </c>
      <c r="Y43" s="13">
        <v>1E-3</v>
      </c>
      <c r="Z43" s="10" t="s">
        <v>175</v>
      </c>
      <c r="AA43" s="28" t="s">
        <v>2</v>
      </c>
      <c r="AB43" s="17">
        <v>152655.39827262852</v>
      </c>
      <c r="AC43" s="18">
        <v>111105.54981031141</v>
      </c>
      <c r="AD43" s="18">
        <v>100549.24323500031</v>
      </c>
      <c r="AE43" s="19">
        <v>8686.5965469800012</v>
      </c>
      <c r="AF43" s="145">
        <f t="shared" si="0"/>
        <v>217.67310306905821</v>
      </c>
      <c r="AG43" s="146">
        <f t="shared" si="1"/>
        <v>1623.5831977893567</v>
      </c>
    </row>
    <row r="44" spans="1:33" x14ac:dyDescent="0.3">
      <c r="A44" s="37">
        <v>4</v>
      </c>
      <c r="B44" s="38">
        <v>2023</v>
      </c>
      <c r="C44" s="31" t="s">
        <v>175</v>
      </c>
      <c r="D44" s="28" t="s">
        <v>3</v>
      </c>
      <c r="E44" s="11">
        <v>62.674346680116571</v>
      </c>
      <c r="F44" s="12">
        <v>77.337389679933608</v>
      </c>
      <c r="G44" s="12">
        <v>6.9502904928661922</v>
      </c>
      <c r="H44" s="13">
        <v>381.03802942179152</v>
      </c>
      <c r="I44" s="10" t="s">
        <v>175</v>
      </c>
      <c r="J44" s="28" t="s">
        <v>3</v>
      </c>
      <c r="K44" s="11">
        <v>65.693758984693446</v>
      </c>
      <c r="L44" s="12">
        <v>88.94574923622406</v>
      </c>
      <c r="M44" s="12">
        <v>9.0623410956210044</v>
      </c>
      <c r="N44" s="12">
        <v>22.586333241702299</v>
      </c>
      <c r="O44" s="13">
        <v>1099.7679807023633</v>
      </c>
      <c r="P44" s="10" t="s">
        <v>175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-713.32645272932677</v>
      </c>
      <c r="V44" s="11">
        <v>-3.0184123045768563</v>
      </c>
      <c r="W44" s="12">
        <v>-11.607359556290428</v>
      </c>
      <c r="X44" s="12">
        <v>-2.1110506027548137</v>
      </c>
      <c r="Y44" s="13">
        <v>-27.987831792947208</v>
      </c>
      <c r="Z44" s="10" t="s">
        <v>175</v>
      </c>
      <c r="AA44" s="28" t="s">
        <v>3</v>
      </c>
      <c r="AB44" s="17">
        <v>155450.55982246783</v>
      </c>
      <c r="AC44" s="18">
        <v>110789.7910576266</v>
      </c>
      <c r="AD44" s="18">
        <v>99788.769297526029</v>
      </c>
      <c r="AE44" s="19">
        <v>9028.0060226024689</v>
      </c>
      <c r="AF44" s="145">
        <f t="shared" si="0"/>
        <v>163.7018493165385</v>
      </c>
      <c r="AG44" s="146">
        <f t="shared" si="1"/>
        <v>1122.3543139440656</v>
      </c>
    </row>
    <row r="45" spans="1:33" x14ac:dyDescent="0.3">
      <c r="A45" s="37">
        <v>5</v>
      </c>
      <c r="B45" s="38">
        <v>2023</v>
      </c>
      <c r="C45" s="31" t="s">
        <v>175</v>
      </c>
      <c r="D45" s="28" t="s">
        <v>4</v>
      </c>
      <c r="E45" s="11">
        <v>49.102999116297624</v>
      </c>
      <c r="F45" s="12">
        <v>102.15933750946337</v>
      </c>
      <c r="G45" s="12">
        <v>9.4753166103113706</v>
      </c>
      <c r="H45" s="13">
        <v>1305.7514052291747</v>
      </c>
      <c r="I45" s="10" t="s">
        <v>175</v>
      </c>
      <c r="J45" s="28" t="s">
        <v>4</v>
      </c>
      <c r="K45" s="11">
        <v>27.551142640362293</v>
      </c>
      <c r="L45" s="12">
        <v>66.926240505966561</v>
      </c>
      <c r="M45" s="12">
        <v>7.718679345343654</v>
      </c>
      <c r="N45" s="12">
        <v>29.336058028327315</v>
      </c>
      <c r="O45" s="13">
        <v>1263.5410934089261</v>
      </c>
      <c r="P45" s="10" t="s">
        <v>175</v>
      </c>
      <c r="Q45" s="28" t="s">
        <v>4</v>
      </c>
      <c r="R45" s="17">
        <v>1E-3</v>
      </c>
      <c r="S45" s="18">
        <v>1E-3</v>
      </c>
      <c r="T45" s="18">
        <v>1E-3</v>
      </c>
      <c r="U45" s="18">
        <v>-15.113578001025839</v>
      </c>
      <c r="V45" s="11">
        <v>21.552856475935304</v>
      </c>
      <c r="W45" s="12">
        <v>35.234097003496792</v>
      </c>
      <c r="X45" s="12">
        <v>1.7576372649677179</v>
      </c>
      <c r="Y45" s="13">
        <v>27.989831792947211</v>
      </c>
      <c r="Z45" s="10" t="s">
        <v>175</v>
      </c>
      <c r="AA45" s="28" t="s">
        <v>4</v>
      </c>
      <c r="AB45" s="17">
        <v>154106.21532700604</v>
      </c>
      <c r="AC45" s="18">
        <v>107013.80035858505</v>
      </c>
      <c r="AD45" s="18">
        <v>98240.350280875122</v>
      </c>
      <c r="AE45" s="19">
        <v>8520.9666164537466</v>
      </c>
      <c r="AF45" s="145">
        <f t="shared" si="0"/>
        <v>102.19606249167252</v>
      </c>
      <c r="AG45" s="146">
        <f t="shared" si="1"/>
        <v>1292.8771514372534</v>
      </c>
    </row>
    <row r="46" spans="1:33" x14ac:dyDescent="0.3">
      <c r="A46" s="37">
        <v>6</v>
      </c>
      <c r="B46" s="38">
        <v>2023</v>
      </c>
      <c r="C46" s="31" t="s">
        <v>175</v>
      </c>
      <c r="D46" s="28" t="s">
        <v>5</v>
      </c>
      <c r="E46" s="11">
        <v>6.1620138260424868</v>
      </c>
      <c r="F46" s="12">
        <v>314.19976121884122</v>
      </c>
      <c r="G46" s="12">
        <v>36.705924563505796</v>
      </c>
      <c r="H46" s="13">
        <v>474.20728594881905</v>
      </c>
      <c r="I46" s="10" t="s">
        <v>175</v>
      </c>
      <c r="J46" s="28" t="s">
        <v>5</v>
      </c>
      <c r="K46" s="11">
        <v>31.833659324715356</v>
      </c>
      <c r="L46" s="12">
        <v>235.81662657022628</v>
      </c>
      <c r="M46" s="12">
        <v>30.821589068553696</v>
      </c>
      <c r="N46" s="12">
        <v>47.093748178250863</v>
      </c>
      <c r="O46" s="13">
        <v>3106.2650826652794</v>
      </c>
      <c r="P46" s="10" t="s">
        <v>175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-2679.1505448947109</v>
      </c>
      <c r="V46" s="11">
        <v>-25.670645498672869</v>
      </c>
      <c r="W46" s="12">
        <v>78.384134648614946</v>
      </c>
      <c r="X46" s="12">
        <v>5.8853354949520975</v>
      </c>
      <c r="Y46" s="13">
        <v>1E-3</v>
      </c>
      <c r="Z46" s="10" t="s">
        <v>175</v>
      </c>
      <c r="AA46" s="28" t="s">
        <v>5</v>
      </c>
      <c r="AB46" s="17">
        <v>155672.41986898947</v>
      </c>
      <c r="AC46" s="18">
        <v>111403.51543723761</v>
      </c>
      <c r="AD46" s="18">
        <v>97148.751981494235</v>
      </c>
      <c r="AE46" s="19">
        <v>8167.6592845710811</v>
      </c>
      <c r="AF46" s="145">
        <f t="shared" si="0"/>
        <v>298.47187496349534</v>
      </c>
      <c r="AG46" s="146">
        <f t="shared" si="1"/>
        <v>3153.3588308435301</v>
      </c>
    </row>
    <row r="47" spans="1:33" ht="16.2" thickBot="1" x14ac:dyDescent="0.35">
      <c r="A47" s="39">
        <v>7</v>
      </c>
      <c r="B47" s="54">
        <v>2023</v>
      </c>
      <c r="C47" s="32" t="s">
        <v>175</v>
      </c>
      <c r="D47" s="29" t="s">
        <v>6</v>
      </c>
      <c r="E47" s="21">
        <v>163.94501227060132</v>
      </c>
      <c r="F47" s="22">
        <v>124.21162632056595</v>
      </c>
      <c r="G47" s="22">
        <v>12.676565356017907</v>
      </c>
      <c r="H47" s="23">
        <v>204.04411295183763</v>
      </c>
      <c r="I47" s="20" t="s">
        <v>175</v>
      </c>
      <c r="J47" s="29" t="s">
        <v>6</v>
      </c>
      <c r="K47" s="21">
        <v>173.26980781609399</v>
      </c>
      <c r="L47" s="22">
        <v>129.09782081770368</v>
      </c>
      <c r="M47" s="22">
        <v>14.064150216570606</v>
      </c>
      <c r="N47" s="22">
        <v>32.8786184635835</v>
      </c>
      <c r="O47" s="23">
        <v>2119.2002433976932</v>
      </c>
      <c r="P47" s="20" t="s">
        <v>175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-1948.0337489094393</v>
      </c>
      <c r="V47" s="21">
        <v>-9.3237955454926134</v>
      </c>
      <c r="W47" s="22">
        <v>-4.885194497137733</v>
      </c>
      <c r="X47" s="22">
        <v>-1.3865848605527014</v>
      </c>
      <c r="Y47" s="23">
        <v>1E-3</v>
      </c>
      <c r="Z47" s="20" t="s">
        <v>175</v>
      </c>
      <c r="AA47" s="29" t="s">
        <v>6</v>
      </c>
      <c r="AB47" s="24">
        <v>155450.19965875239</v>
      </c>
      <c r="AC47" s="25">
        <v>110832.87594989745</v>
      </c>
      <c r="AD47" s="25">
        <v>97549.197917239901</v>
      </c>
      <c r="AE47" s="26">
        <v>8160.6330816506324</v>
      </c>
      <c r="AF47" s="147">
        <f t="shared" si="0"/>
        <v>316.43177885036829</v>
      </c>
      <c r="AG47" s="148">
        <f t="shared" si="1"/>
        <v>2152.0788618612764</v>
      </c>
    </row>
    <row r="48" spans="1:33" x14ac:dyDescent="0.3">
      <c r="A48" s="35">
        <v>1</v>
      </c>
      <c r="B48" s="36">
        <v>2024</v>
      </c>
      <c r="C48" s="33" t="s">
        <v>176</v>
      </c>
      <c r="D48" s="27" t="s">
        <v>0</v>
      </c>
      <c r="E48" s="7">
        <v>268.85463624399762</v>
      </c>
      <c r="F48" s="8">
        <v>109.01159745343757</v>
      </c>
      <c r="G48" s="8">
        <v>12.509180041192868</v>
      </c>
      <c r="H48" s="9">
        <v>1955.0257895378872</v>
      </c>
      <c r="I48" s="6" t="s">
        <v>176</v>
      </c>
      <c r="J48" s="27" t="s">
        <v>0</v>
      </c>
      <c r="K48" s="7">
        <v>184.58602288997039</v>
      </c>
      <c r="L48" s="8">
        <v>94.40139135721445</v>
      </c>
      <c r="M48" s="8">
        <v>12.3130202751013</v>
      </c>
      <c r="N48" s="8">
        <v>62.968823218506188</v>
      </c>
      <c r="O48" s="9">
        <v>2605.4469765520425</v>
      </c>
      <c r="P48" s="6" t="s">
        <v>176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-713.38901023266135</v>
      </c>
      <c r="V48" s="7">
        <v>84.269613354027214</v>
      </c>
      <c r="W48" s="8">
        <v>14.611206096223109</v>
      </c>
      <c r="X48" s="8">
        <v>0.19715976609156807</v>
      </c>
      <c r="Y48" s="9">
        <v>1E-3</v>
      </c>
      <c r="Z48" s="6" t="s">
        <v>176</v>
      </c>
      <c r="AA48" s="27" t="s">
        <v>0</v>
      </c>
      <c r="AB48" s="14">
        <v>159849.92734572163</v>
      </c>
      <c r="AC48" s="15">
        <v>112860.13234165567</v>
      </c>
      <c r="AD48" s="15">
        <v>97877.901700281451</v>
      </c>
      <c r="AE48" s="16">
        <v>8923.7882585730276</v>
      </c>
      <c r="AF48" s="143">
        <f t="shared" si="0"/>
        <v>291.30043452228614</v>
      </c>
      <c r="AG48" s="144">
        <f t="shared" si="1"/>
        <v>2668.4157997705488</v>
      </c>
    </row>
    <row r="49" spans="1:34" x14ac:dyDescent="0.3">
      <c r="A49" s="37">
        <v>2</v>
      </c>
      <c r="B49" s="38">
        <v>2024</v>
      </c>
      <c r="C49" s="31" t="s">
        <v>176</v>
      </c>
      <c r="D49" s="28" t="s">
        <v>1</v>
      </c>
      <c r="E49" s="11">
        <v>14.504640408594581</v>
      </c>
      <c r="F49" s="12">
        <v>419.94027331995289</v>
      </c>
      <c r="G49" s="12">
        <v>49.307001636614082</v>
      </c>
      <c r="H49" s="13">
        <v>411.75481568968223</v>
      </c>
      <c r="I49" s="10" t="s">
        <v>176</v>
      </c>
      <c r="J49" s="28" t="s">
        <v>1</v>
      </c>
      <c r="K49" s="11">
        <v>84.505992947425469</v>
      </c>
      <c r="L49" s="12">
        <v>534.00988214053609</v>
      </c>
      <c r="M49" s="12">
        <v>52.421754279518439</v>
      </c>
      <c r="N49" s="12">
        <v>41.872636683595758</v>
      </c>
      <c r="O49" s="13">
        <v>4154.2627038284336</v>
      </c>
      <c r="P49" s="10" t="s">
        <v>176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-3784.3795248223478</v>
      </c>
      <c r="V49" s="11">
        <v>-70.000352538830896</v>
      </c>
      <c r="W49" s="12">
        <v>-114.06860882058315</v>
      </c>
      <c r="X49" s="12">
        <v>-3.1137526429043629</v>
      </c>
      <c r="Y49" s="13">
        <v>1E-3</v>
      </c>
      <c r="Z49" s="10" t="s">
        <v>176</v>
      </c>
      <c r="AA49" s="28" t="s">
        <v>1</v>
      </c>
      <c r="AB49" s="17">
        <v>161305.67112339649</v>
      </c>
      <c r="AC49" s="18">
        <v>112379.21616866086</v>
      </c>
      <c r="AD49" s="18">
        <v>99155.09192629157</v>
      </c>
      <c r="AE49" s="19">
        <v>8560.3299245296512</v>
      </c>
      <c r="AF49" s="145">
        <f t="shared" si="0"/>
        <v>670.93762936747999</v>
      </c>
      <c r="AG49" s="146">
        <f t="shared" si="1"/>
        <v>4196.135340512029</v>
      </c>
    </row>
    <row r="50" spans="1:34" x14ac:dyDescent="0.3">
      <c r="A50" s="37">
        <v>3</v>
      </c>
      <c r="B50" s="38">
        <v>2024</v>
      </c>
      <c r="C50" s="31" t="s">
        <v>176</v>
      </c>
      <c r="D50" s="28" t="s">
        <v>2</v>
      </c>
      <c r="E50" s="11">
        <v>99.753328905625608</v>
      </c>
      <c r="F50" s="12">
        <v>116.20715169097252</v>
      </c>
      <c r="G50" s="12">
        <v>9.3684297146305866</v>
      </c>
      <c r="H50" s="13">
        <v>528.13105374036024</v>
      </c>
      <c r="I50" s="10" t="s">
        <v>176</v>
      </c>
      <c r="J50" s="28" t="s">
        <v>2</v>
      </c>
      <c r="K50" s="11">
        <v>97.832272235976802</v>
      </c>
      <c r="L50" s="12">
        <v>124.00777866847278</v>
      </c>
      <c r="M50" s="12">
        <v>11.350754712944989</v>
      </c>
      <c r="N50" s="12">
        <v>52.733541057345981</v>
      </c>
      <c r="O50" s="13">
        <v>1657.6294006049473</v>
      </c>
      <c r="P50" s="10" t="s">
        <v>176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-1182.2308879219333</v>
      </c>
      <c r="V50" s="11">
        <v>1.9220566696488073</v>
      </c>
      <c r="W50" s="12">
        <v>-7.7996269775002895</v>
      </c>
      <c r="X50" s="12">
        <v>-1.981324998314401</v>
      </c>
      <c r="Y50" s="13">
        <v>1E-3</v>
      </c>
      <c r="Z50" s="10" t="s">
        <v>176</v>
      </c>
      <c r="AA50" s="28" t="s">
        <v>2</v>
      </c>
      <c r="AB50" s="17">
        <v>161070.05687974265</v>
      </c>
      <c r="AC50" s="18">
        <v>112397.59720435666</v>
      </c>
      <c r="AD50" s="18">
        <v>100493.09045286552</v>
      </c>
      <c r="AE50" s="19">
        <v>8955.1749382212656</v>
      </c>
      <c r="AF50" s="145">
        <f t="shared" si="0"/>
        <v>233.19080561739457</v>
      </c>
      <c r="AG50" s="146">
        <f t="shared" si="1"/>
        <v>1710.3629416622932</v>
      </c>
    </row>
    <row r="51" spans="1:34" x14ac:dyDescent="0.3">
      <c r="A51" s="37">
        <v>4</v>
      </c>
      <c r="B51" s="38">
        <v>2024</v>
      </c>
      <c r="C51" s="31" t="s">
        <v>176</v>
      </c>
      <c r="D51" s="28" t="s">
        <v>3</v>
      </c>
      <c r="E51" s="11">
        <v>64.599501815588795</v>
      </c>
      <c r="F51" s="12">
        <v>82.453093917806541</v>
      </c>
      <c r="G51" s="12">
        <v>7.5604186754722242</v>
      </c>
      <c r="H51" s="13">
        <v>400.9771869499063</v>
      </c>
      <c r="I51" s="10" t="s">
        <v>176</v>
      </c>
      <c r="J51" s="28" t="s">
        <v>3</v>
      </c>
      <c r="K51" s="11">
        <v>67.515175793923007</v>
      </c>
      <c r="L51" s="12">
        <v>94.693028561623748</v>
      </c>
      <c r="M51" s="12">
        <v>9.8592550450510998</v>
      </c>
      <c r="N51" s="12">
        <v>22.681924623838626</v>
      </c>
      <c r="O51" s="13">
        <v>1160.6238547038351</v>
      </c>
      <c r="P51" s="10" t="s">
        <v>176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-751.50554739492009</v>
      </c>
      <c r="V51" s="11">
        <v>-2.91467397833418</v>
      </c>
      <c r="W51" s="12">
        <v>-12.238934643817212</v>
      </c>
      <c r="X51" s="12">
        <v>-2.2978363695788802</v>
      </c>
      <c r="Y51" s="13">
        <v>-30.82104498284771</v>
      </c>
      <c r="Z51" s="10" t="s">
        <v>176</v>
      </c>
      <c r="AA51" s="28" t="s">
        <v>3</v>
      </c>
      <c r="AB51" s="17">
        <v>163719.38467827404</v>
      </c>
      <c r="AC51" s="18">
        <v>112135.96007639638</v>
      </c>
      <c r="AD51" s="18">
        <v>99733.252168822757</v>
      </c>
      <c r="AE51" s="19">
        <v>9296.5406246325547</v>
      </c>
      <c r="AF51" s="145">
        <f t="shared" si="0"/>
        <v>172.06745940059784</v>
      </c>
      <c r="AG51" s="146">
        <f t="shared" si="1"/>
        <v>1183.3057793276737</v>
      </c>
    </row>
    <row r="52" spans="1:34" x14ac:dyDescent="0.3">
      <c r="A52" s="37">
        <v>5</v>
      </c>
      <c r="B52" s="38">
        <v>2024</v>
      </c>
      <c r="C52" s="31" t="s">
        <v>176</v>
      </c>
      <c r="D52" s="28" t="s">
        <v>4</v>
      </c>
      <c r="E52" s="11">
        <v>50.624612214626197</v>
      </c>
      <c r="F52" s="12">
        <v>108.90045956847337</v>
      </c>
      <c r="G52" s="12">
        <v>10.305516702487838</v>
      </c>
      <c r="H52" s="13">
        <v>1375.6177862944651</v>
      </c>
      <c r="I52" s="10" t="s">
        <v>176</v>
      </c>
      <c r="J52" s="28" t="s">
        <v>4</v>
      </c>
      <c r="K52" s="11">
        <v>27.98485043620196</v>
      </c>
      <c r="L52" s="12">
        <v>71.104303625524636</v>
      </c>
      <c r="M52" s="12">
        <v>8.4733069212719787</v>
      </c>
      <c r="N52" s="12">
        <v>30.560378953969927</v>
      </c>
      <c r="O52" s="13">
        <v>1337.4028465529764</v>
      </c>
      <c r="P52" s="10" t="s">
        <v>176</v>
      </c>
      <c r="Q52" s="28" t="s">
        <v>4</v>
      </c>
      <c r="R52" s="17">
        <v>1E-3</v>
      </c>
      <c r="S52" s="18">
        <v>1E-3</v>
      </c>
      <c r="T52" s="18">
        <v>1E-3</v>
      </c>
      <c r="U52" s="18">
        <v>-23.166484195329083</v>
      </c>
      <c r="V52" s="11">
        <v>22.640761778424238</v>
      </c>
      <c r="W52" s="12">
        <v>37.797155942948741</v>
      </c>
      <c r="X52" s="12">
        <v>1.8332097812158585</v>
      </c>
      <c r="Y52" s="13">
        <v>30.823044982847712</v>
      </c>
      <c r="Z52" s="10" t="s">
        <v>176</v>
      </c>
      <c r="AA52" s="28" t="s">
        <v>4</v>
      </c>
      <c r="AB52" s="17">
        <v>162415.83107999695</v>
      </c>
      <c r="AC52" s="18">
        <v>108365.78496279422</v>
      </c>
      <c r="AD52" s="18">
        <v>98185.734576932155</v>
      </c>
      <c r="AE52" s="19">
        <v>8789.5272478645329</v>
      </c>
      <c r="AF52" s="145">
        <f t="shared" si="0"/>
        <v>107.56246098299857</v>
      </c>
      <c r="AG52" s="146">
        <f t="shared" si="1"/>
        <v>1367.9632255069464</v>
      </c>
    </row>
    <row r="53" spans="1:34" x14ac:dyDescent="0.3">
      <c r="A53" s="37">
        <v>6</v>
      </c>
      <c r="B53" s="38">
        <v>2024</v>
      </c>
      <c r="C53" s="31" t="s">
        <v>176</v>
      </c>
      <c r="D53" s="28" t="s">
        <v>5</v>
      </c>
      <c r="E53" s="11">
        <v>6.350723387693515</v>
      </c>
      <c r="F53" s="12">
        <v>334.93885040392718</v>
      </c>
      <c r="G53" s="12">
        <v>39.919596881565816</v>
      </c>
      <c r="H53" s="13">
        <v>500.00115177053146</v>
      </c>
      <c r="I53" s="10" t="s">
        <v>176</v>
      </c>
      <c r="J53" s="28" t="s">
        <v>5</v>
      </c>
      <c r="K53" s="11">
        <v>31.584742074531725</v>
      </c>
      <c r="L53" s="12">
        <v>247.43188666866268</v>
      </c>
      <c r="M53" s="12">
        <v>33.180327385272378</v>
      </c>
      <c r="N53" s="12">
        <v>49.668407196800217</v>
      </c>
      <c r="O53" s="13">
        <v>3317.8253634998828</v>
      </c>
      <c r="P53" s="10" t="s">
        <v>176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-2867.4916189261517</v>
      </c>
      <c r="V53" s="11">
        <v>-25.233018686838225</v>
      </c>
      <c r="W53" s="12">
        <v>87.507963735264497</v>
      </c>
      <c r="X53" s="12">
        <v>6.7402694962934424</v>
      </c>
      <c r="Y53" s="13">
        <v>1E-3</v>
      </c>
      <c r="Z53" s="10" t="s">
        <v>176</v>
      </c>
      <c r="AA53" s="28" t="s">
        <v>5</v>
      </c>
      <c r="AB53" s="17">
        <v>164003.4621273618</v>
      </c>
      <c r="AC53" s="18">
        <v>112822.41955744071</v>
      </c>
      <c r="AD53" s="18">
        <v>97094.630908809879</v>
      </c>
      <c r="AE53" s="19">
        <v>8436.0198635164743</v>
      </c>
      <c r="AF53" s="145">
        <f t="shared" si="0"/>
        <v>312.19695612846681</v>
      </c>
      <c r="AG53" s="146">
        <f t="shared" si="1"/>
        <v>3367.493770696683</v>
      </c>
    </row>
    <row r="54" spans="1:34" ht="16.2" thickBot="1" x14ac:dyDescent="0.35">
      <c r="A54" s="39">
        <v>7</v>
      </c>
      <c r="B54" s="54">
        <v>2024</v>
      </c>
      <c r="C54" s="32" t="s">
        <v>176</v>
      </c>
      <c r="D54" s="29" t="s">
        <v>6</v>
      </c>
      <c r="E54" s="21">
        <v>168.96076109220633</v>
      </c>
      <c r="F54" s="22">
        <v>132.18966507035887</v>
      </c>
      <c r="G54" s="22">
        <v>13.790043536327063</v>
      </c>
      <c r="H54" s="23">
        <v>215.13684651736571</v>
      </c>
      <c r="I54" s="20" t="s">
        <v>176</v>
      </c>
      <c r="J54" s="29" t="s">
        <v>6</v>
      </c>
      <c r="K54" s="21">
        <v>179.6391476903033</v>
      </c>
      <c r="L54" s="22">
        <v>137.99282040289455</v>
      </c>
      <c r="M54" s="22">
        <v>15.16176856913029</v>
      </c>
      <c r="N54" s="22">
        <v>33.888504830190413</v>
      </c>
      <c r="O54" s="23">
        <v>2223.2942129727644</v>
      </c>
      <c r="P54" s="20" t="s">
        <v>176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-2042.0448712855894</v>
      </c>
      <c r="V54" s="21">
        <v>-10.677386598096946</v>
      </c>
      <c r="W54" s="22">
        <v>-5.8021553325356869</v>
      </c>
      <c r="X54" s="22">
        <v>-1.370725032803225</v>
      </c>
      <c r="Y54" s="23">
        <v>1E-3</v>
      </c>
      <c r="Z54" s="20" t="s">
        <v>176</v>
      </c>
      <c r="AA54" s="29" t="s">
        <v>6</v>
      </c>
      <c r="AB54" s="24">
        <v>163698.95344029067</v>
      </c>
      <c r="AC54" s="25">
        <v>111847.69118115488</v>
      </c>
      <c r="AD54" s="25">
        <v>97491.601605633259</v>
      </c>
      <c r="AE54" s="26">
        <v>8429.1787540903424</v>
      </c>
      <c r="AF54" s="147">
        <f t="shared" si="0"/>
        <v>332.79373666232817</v>
      </c>
      <c r="AG54" s="148">
        <f t="shared" si="1"/>
        <v>2257.1827178029548</v>
      </c>
    </row>
    <row r="55" spans="1:34" x14ac:dyDescent="0.3">
      <c r="A55" s="35">
        <v>1</v>
      </c>
      <c r="B55" s="36">
        <v>2025</v>
      </c>
      <c r="C55" s="33" t="s">
        <v>177</v>
      </c>
      <c r="D55" s="27" t="s">
        <v>0</v>
      </c>
      <c r="E55" s="7">
        <v>276.53990792409718</v>
      </c>
      <c r="F55" s="8">
        <v>116.80012540334199</v>
      </c>
      <c r="G55" s="8">
        <v>13.713004895194201</v>
      </c>
      <c r="H55" s="9">
        <v>2060.608807816292</v>
      </c>
      <c r="I55" s="6" t="s">
        <v>177</v>
      </c>
      <c r="J55" s="27" t="s">
        <v>0</v>
      </c>
      <c r="K55" s="7">
        <v>189.96776281661661</v>
      </c>
      <c r="L55" s="8">
        <v>100.89658594939345</v>
      </c>
      <c r="M55" s="8">
        <v>13.45855618831064</v>
      </c>
      <c r="N55" s="8">
        <v>63.047687660462515</v>
      </c>
      <c r="O55" s="9">
        <v>2717.3774290275323</v>
      </c>
      <c r="P55" s="6" t="s">
        <v>177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-719.8153088717022</v>
      </c>
      <c r="V55" s="7">
        <v>86.573145107480556</v>
      </c>
      <c r="W55" s="8">
        <v>15.904539453948557</v>
      </c>
      <c r="X55" s="8">
        <v>0.25544870688355925</v>
      </c>
      <c r="Y55" s="9">
        <v>1E-3</v>
      </c>
      <c r="Z55" s="6" t="s">
        <v>177</v>
      </c>
      <c r="AA55" s="27" t="s">
        <v>0</v>
      </c>
      <c r="AB55" s="14">
        <v>167598.53683677586</v>
      </c>
      <c r="AC55" s="15">
        <v>113319.33871763831</v>
      </c>
      <c r="AD55" s="15">
        <v>96902.87159835163</v>
      </c>
      <c r="AE55" s="16">
        <v>9202.5940430052397</v>
      </c>
      <c r="AF55" s="143">
        <f t="shared" si="0"/>
        <v>304.32290495432068</v>
      </c>
      <c r="AG55" s="144">
        <f t="shared" si="1"/>
        <v>2780.4251166879949</v>
      </c>
    </row>
    <row r="56" spans="1:34" x14ac:dyDescent="0.3">
      <c r="A56" s="37">
        <v>2</v>
      </c>
      <c r="B56" s="38">
        <v>2025</v>
      </c>
      <c r="C56" s="31" t="s">
        <v>177</v>
      </c>
      <c r="D56" s="28" t="s">
        <v>1</v>
      </c>
      <c r="E56" s="11">
        <v>14.961033006576354</v>
      </c>
      <c r="F56" s="12">
        <v>449.88802993488974</v>
      </c>
      <c r="G56" s="12">
        <v>54.054949726282487</v>
      </c>
      <c r="H56" s="13">
        <v>434.32733905603988</v>
      </c>
      <c r="I56" s="10" t="s">
        <v>177</v>
      </c>
      <c r="J56" s="28" t="s">
        <v>1</v>
      </c>
      <c r="K56" s="11">
        <v>86.833323503621656</v>
      </c>
      <c r="L56" s="12">
        <v>573.0731002610371</v>
      </c>
      <c r="M56" s="12">
        <v>57.622126897240832</v>
      </c>
      <c r="N56" s="12">
        <v>43.077341590721147</v>
      </c>
      <c r="O56" s="13">
        <v>4447.6551666273263</v>
      </c>
      <c r="P56" s="10" t="s">
        <v>177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-4056.4041691620077</v>
      </c>
      <c r="V56" s="11">
        <v>-71.871290497045308</v>
      </c>
      <c r="W56" s="12">
        <v>-123.1840703261478</v>
      </c>
      <c r="X56" s="12">
        <v>-3.5661771709583832</v>
      </c>
      <c r="Y56" s="13">
        <v>1E-3</v>
      </c>
      <c r="Z56" s="10" t="s">
        <v>177</v>
      </c>
      <c r="AA56" s="28" t="s">
        <v>1</v>
      </c>
      <c r="AB56" s="17">
        <v>169093.63704094273</v>
      </c>
      <c r="AC56" s="18">
        <v>112871.99824132578</v>
      </c>
      <c r="AD56" s="18">
        <v>98180.193710200299</v>
      </c>
      <c r="AE56" s="19">
        <v>8839.2129327624298</v>
      </c>
      <c r="AF56" s="145">
        <f t="shared" si="0"/>
        <v>717.52855066189954</v>
      </c>
      <c r="AG56" s="146">
        <f t="shared" si="1"/>
        <v>4490.7325082180478</v>
      </c>
    </row>
    <row r="57" spans="1:34" x14ac:dyDescent="0.3">
      <c r="A57" s="37">
        <v>3</v>
      </c>
      <c r="B57" s="38">
        <v>2025</v>
      </c>
      <c r="C57" s="31" t="s">
        <v>177</v>
      </c>
      <c r="D57" s="28" t="s">
        <v>2</v>
      </c>
      <c r="E57" s="11">
        <v>102.91343106410876</v>
      </c>
      <c r="F57" s="12">
        <v>124.49945460931744</v>
      </c>
      <c r="G57" s="12">
        <v>10.27237733072802</v>
      </c>
      <c r="H57" s="13">
        <v>556.68394917124988</v>
      </c>
      <c r="I57" s="10" t="s">
        <v>177</v>
      </c>
      <c r="J57" s="28" t="s">
        <v>2</v>
      </c>
      <c r="K57" s="11">
        <v>102.05004418989694</v>
      </c>
      <c r="L57" s="12">
        <v>135.9816028624399</v>
      </c>
      <c r="M57" s="12">
        <v>12.703777432739191</v>
      </c>
      <c r="N57" s="12">
        <v>53.947054340988188</v>
      </c>
      <c r="O57" s="13">
        <v>1747.9229161518131</v>
      </c>
      <c r="P57" s="10" t="s">
        <v>177</v>
      </c>
      <c r="Q57" s="28" t="s">
        <v>2</v>
      </c>
      <c r="R57" s="17">
        <v>1E-3</v>
      </c>
      <c r="S57" s="18">
        <v>1E-3</v>
      </c>
      <c r="T57" s="18">
        <v>1E-3</v>
      </c>
      <c r="U57" s="18">
        <v>-1245.1850213215519</v>
      </c>
      <c r="V57" s="11">
        <v>0.86438687421182336</v>
      </c>
      <c r="W57" s="12">
        <v>-11.48114825312244</v>
      </c>
      <c r="X57" s="12">
        <v>-2.4304001020111707</v>
      </c>
      <c r="Y57" s="13">
        <v>1E-3</v>
      </c>
      <c r="Z57" s="10" t="s">
        <v>177</v>
      </c>
      <c r="AA57" s="28" t="s">
        <v>2</v>
      </c>
      <c r="AB57" s="17">
        <v>169704.92768191895</v>
      </c>
      <c r="AC57" s="18">
        <v>112853.10405554518</v>
      </c>
      <c r="AD57" s="18">
        <v>99517.676550735996</v>
      </c>
      <c r="AE57" s="19">
        <v>9234.0375086823205</v>
      </c>
      <c r="AF57" s="145">
        <f t="shared" si="0"/>
        <v>250.73542448507604</v>
      </c>
      <c r="AG57" s="146">
        <f t="shared" si="1"/>
        <v>1801.8699704928013</v>
      </c>
    </row>
    <row r="58" spans="1:34" x14ac:dyDescent="0.3">
      <c r="A58" s="37">
        <v>4</v>
      </c>
      <c r="B58" s="38">
        <v>2025</v>
      </c>
      <c r="C58" s="31" t="s">
        <v>177</v>
      </c>
      <c r="D58" s="28" t="s">
        <v>3</v>
      </c>
      <c r="E58" s="11">
        <v>66.604982749720577</v>
      </c>
      <c r="F58" s="12">
        <v>88.353886841477305</v>
      </c>
      <c r="G58" s="12">
        <v>8.2913721379262846</v>
      </c>
      <c r="H58" s="13">
        <v>423.72268454943287</v>
      </c>
      <c r="I58" s="10" t="s">
        <v>177</v>
      </c>
      <c r="J58" s="28" t="s">
        <v>3</v>
      </c>
      <c r="K58" s="11">
        <v>69.342433705324481</v>
      </c>
      <c r="L58" s="12">
        <v>101.37415286724487</v>
      </c>
      <c r="M58" s="12">
        <v>10.817117010630406</v>
      </c>
      <c r="N58" s="12">
        <v>22.658507904634078</v>
      </c>
      <c r="O58" s="13">
        <v>1225.8994966607772</v>
      </c>
      <c r="P58" s="10" t="s">
        <v>177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-787.55004830234611</v>
      </c>
      <c r="V58" s="11">
        <v>-2.7364509556039542</v>
      </c>
      <c r="W58" s="12">
        <v>-13.019266025767562</v>
      </c>
      <c r="X58" s="12">
        <v>-2.5247448727041273</v>
      </c>
      <c r="Y58" s="13">
        <v>-37.283271713632537</v>
      </c>
      <c r="Z58" s="10" t="s">
        <v>177</v>
      </c>
      <c r="AA58" s="28" t="s">
        <v>3</v>
      </c>
      <c r="AB58" s="17">
        <v>172308.83147574458</v>
      </c>
      <c r="AC58" s="18">
        <v>112591.22495055795</v>
      </c>
      <c r="AD58" s="18">
        <v>98758.471606704581</v>
      </c>
      <c r="AE58" s="19">
        <v>9575.3645706595762</v>
      </c>
      <c r="AF58" s="145">
        <f t="shared" si="0"/>
        <v>181.53370358319975</v>
      </c>
      <c r="AG58" s="146">
        <f t="shared" si="1"/>
        <v>1248.5580045654112</v>
      </c>
    </row>
    <row r="59" spans="1:34" x14ac:dyDescent="0.3">
      <c r="A59" s="37">
        <v>5</v>
      </c>
      <c r="B59" s="38">
        <v>2025</v>
      </c>
      <c r="C59" s="31" t="s">
        <v>177</v>
      </c>
      <c r="D59" s="28" t="s">
        <v>4</v>
      </c>
      <c r="E59" s="11">
        <v>52.213219087566337</v>
      </c>
      <c r="F59" s="12">
        <v>116.68605678544245</v>
      </c>
      <c r="G59" s="12">
        <v>11.297717780346527</v>
      </c>
      <c r="H59" s="13">
        <v>1455.2643544263669</v>
      </c>
      <c r="I59" s="10" t="s">
        <v>177</v>
      </c>
      <c r="J59" s="28" t="s">
        <v>4</v>
      </c>
      <c r="K59" s="11">
        <v>28.403881917211606</v>
      </c>
      <c r="L59" s="12">
        <v>75.989564138732291</v>
      </c>
      <c r="M59" s="12">
        <v>9.3836303642637215</v>
      </c>
      <c r="N59" s="12">
        <v>31.548080439296417</v>
      </c>
      <c r="O59" s="13">
        <v>1417.7217566147258</v>
      </c>
      <c r="P59" s="10" t="s">
        <v>177</v>
      </c>
      <c r="Q59" s="28" t="s">
        <v>4</v>
      </c>
      <c r="R59" s="17">
        <v>1E-3</v>
      </c>
      <c r="S59" s="18">
        <v>1E-3</v>
      </c>
      <c r="T59" s="18">
        <v>1E-3</v>
      </c>
      <c r="U59" s="18">
        <v>-31.28875434128804</v>
      </c>
      <c r="V59" s="11">
        <v>23.810337170354739</v>
      </c>
      <c r="W59" s="12">
        <v>40.697492646709996</v>
      </c>
      <c r="X59" s="12">
        <v>1.9150874160828053</v>
      </c>
      <c r="Y59" s="13">
        <v>37.285271713632532</v>
      </c>
      <c r="Z59" s="10" t="s">
        <v>177</v>
      </c>
      <c r="AA59" s="28" t="s">
        <v>4</v>
      </c>
      <c r="AB59" s="17">
        <v>171069.84742623512</v>
      </c>
      <c r="AC59" s="18">
        <v>108875.50960747768</v>
      </c>
      <c r="AD59" s="18">
        <v>97211.082473128379</v>
      </c>
      <c r="AE59" s="19">
        <v>9068.4359964008254</v>
      </c>
      <c r="AF59" s="145">
        <f t="shared" si="0"/>
        <v>113.77707642020762</v>
      </c>
      <c r="AG59" s="146">
        <f t="shared" si="1"/>
        <v>1449.2698370540222</v>
      </c>
    </row>
    <row r="60" spans="1:34" x14ac:dyDescent="0.3">
      <c r="A60" s="37">
        <v>6</v>
      </c>
      <c r="B60" s="38">
        <v>2025</v>
      </c>
      <c r="C60" s="31" t="s">
        <v>177</v>
      </c>
      <c r="D60" s="28" t="s">
        <v>5</v>
      </c>
      <c r="E60" s="11">
        <v>6.5478413682503058</v>
      </c>
      <c r="F60" s="12">
        <v>358.82865351527062</v>
      </c>
      <c r="G60" s="12">
        <v>43.756530050023649</v>
      </c>
      <c r="H60" s="13">
        <v>529.35980941428954</v>
      </c>
      <c r="I60" s="10" t="s">
        <v>177</v>
      </c>
      <c r="J60" s="28" t="s">
        <v>5</v>
      </c>
      <c r="K60" s="11">
        <v>31.313602343860346</v>
      </c>
      <c r="L60" s="12">
        <v>261.20116104436801</v>
      </c>
      <c r="M60" s="12">
        <v>36.024864903199706</v>
      </c>
      <c r="N60" s="12">
        <v>51.990716516593579</v>
      </c>
      <c r="O60" s="13">
        <v>3552.3017930934161</v>
      </c>
      <c r="P60" s="10" t="s">
        <v>177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-3074.9317001957197</v>
      </c>
      <c r="V60" s="11">
        <v>-24.76476097561012</v>
      </c>
      <c r="W60" s="12">
        <v>97.628492470902614</v>
      </c>
      <c r="X60" s="12">
        <v>7.7326651468239795</v>
      </c>
      <c r="Y60" s="13">
        <v>1E-3</v>
      </c>
      <c r="Z60" s="10" t="s">
        <v>177</v>
      </c>
      <c r="AA60" s="28" t="s">
        <v>5</v>
      </c>
      <c r="AB60" s="17">
        <v>172682.09515613475</v>
      </c>
      <c r="AC60" s="18">
        <v>113332.92859976657</v>
      </c>
      <c r="AD60" s="18">
        <v>96120.331743805858</v>
      </c>
      <c r="AE60" s="19">
        <v>8714.6988365883517</v>
      </c>
      <c r="AF60" s="145">
        <f t="shared" si="0"/>
        <v>328.53962829142807</v>
      </c>
      <c r="AG60" s="146">
        <f t="shared" si="1"/>
        <v>3604.2925096100098</v>
      </c>
    </row>
    <row r="61" spans="1:34" ht="16.2" thickBot="1" x14ac:dyDescent="0.35">
      <c r="A61" s="39">
        <v>7</v>
      </c>
      <c r="B61" s="54">
        <v>2025</v>
      </c>
      <c r="C61" s="32" t="s">
        <v>177</v>
      </c>
      <c r="D61" s="29" t="s">
        <v>6</v>
      </c>
      <c r="E61" s="21">
        <v>174.20540138359442</v>
      </c>
      <c r="F61" s="22">
        <v>141.61866798401218</v>
      </c>
      <c r="G61" s="22">
        <v>15.115914934029663</v>
      </c>
      <c r="H61" s="23">
        <v>227.78925900537325</v>
      </c>
      <c r="I61" s="20" t="s">
        <v>177</v>
      </c>
      <c r="J61" s="29" t="s">
        <v>6</v>
      </c>
      <c r="K61" s="21">
        <v>186.07476810738217</v>
      </c>
      <c r="L61" s="22">
        <v>148.15870795053556</v>
      </c>
      <c r="M61" s="22">
        <v>16.491794058146322</v>
      </c>
      <c r="N61" s="22">
        <v>34.935262254156321</v>
      </c>
      <c r="O61" s="23">
        <v>2336.5233796263128</v>
      </c>
      <c r="P61" s="20" t="s">
        <v>177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-2143.6683828750956</v>
      </c>
      <c r="V61" s="21">
        <v>-11.868366723787725</v>
      </c>
      <c r="W61" s="22">
        <v>-6.5390399665233518</v>
      </c>
      <c r="X61" s="22">
        <v>-1.3748791241166638</v>
      </c>
      <c r="Y61" s="23">
        <v>1E-3</v>
      </c>
      <c r="Z61" s="20" t="s">
        <v>177</v>
      </c>
      <c r="AA61" s="29" t="s">
        <v>6</v>
      </c>
      <c r="AB61" s="24">
        <v>172298.50346800653</v>
      </c>
      <c r="AC61" s="25">
        <v>112243.03233621524</v>
      </c>
      <c r="AD61" s="25">
        <v>96515.768492507996</v>
      </c>
      <c r="AE61" s="26">
        <v>8708.0048226064464</v>
      </c>
      <c r="AF61" s="147">
        <f t="shared" si="0"/>
        <v>350.72527011606405</v>
      </c>
      <c r="AG61" s="148">
        <f t="shared" si="1"/>
        <v>2371.4586418804693</v>
      </c>
    </row>
    <row r="62" spans="1:34" x14ac:dyDescent="0.3">
      <c r="A62" s="35">
        <v>1</v>
      </c>
      <c r="B62" s="36">
        <v>2026</v>
      </c>
      <c r="C62" s="33" t="s">
        <v>185</v>
      </c>
      <c r="D62" s="27" t="s">
        <v>0</v>
      </c>
      <c r="E62" s="7">
        <v>266.42622570131584</v>
      </c>
      <c r="F62" s="8">
        <v>125.82859597876384</v>
      </c>
      <c r="G62" s="8">
        <v>15.166452327515477</v>
      </c>
      <c r="H62" s="9">
        <v>2186.0196293600266</v>
      </c>
      <c r="I62" s="6" t="s">
        <v>185</v>
      </c>
      <c r="J62" s="27" t="s">
        <v>0</v>
      </c>
      <c r="K62" s="7">
        <v>183.10179760102491</v>
      </c>
      <c r="L62" s="8">
        <v>108.5136347344848</v>
      </c>
      <c r="M62" s="8">
        <v>14.846560768049619</v>
      </c>
      <c r="N62" s="8">
        <v>67.624247466386549</v>
      </c>
      <c r="O62" s="9">
        <v>2772.4247702778011</v>
      </c>
      <c r="P62" s="6" t="s">
        <v>185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-654.02838838416073</v>
      </c>
      <c r="V62" s="7">
        <v>83.325428100290907</v>
      </c>
      <c r="W62" s="8">
        <v>17.31596124427907</v>
      </c>
      <c r="X62" s="8">
        <v>0.32089155946585707</v>
      </c>
      <c r="Y62" s="9">
        <v>1E-3</v>
      </c>
      <c r="Z62" s="6" t="s">
        <v>185</v>
      </c>
      <c r="AA62" s="27" t="s">
        <v>0</v>
      </c>
      <c r="AB62" s="14">
        <v>192375.15563321652</v>
      </c>
      <c r="AC62" s="15">
        <v>113803.88200286572</v>
      </c>
      <c r="AD62" s="15">
        <v>95785.840403175025</v>
      </c>
      <c r="AE62" s="16">
        <v>9480.1478406005208</v>
      </c>
      <c r="AF62" s="143">
        <f t="shared" si="0"/>
        <v>306.46199310355934</v>
      </c>
      <c r="AG62" s="144">
        <f t="shared" si="1"/>
        <v>2840.0490177441875</v>
      </c>
      <c r="AH62" s="374"/>
    </row>
    <row r="63" spans="1:34" x14ac:dyDescent="0.3">
      <c r="A63" s="37">
        <v>2</v>
      </c>
      <c r="B63" s="38">
        <v>2026</v>
      </c>
      <c r="C63" s="31" t="s">
        <v>185</v>
      </c>
      <c r="D63" s="28" t="s">
        <v>1</v>
      </c>
      <c r="E63" s="11">
        <v>14.389524855646417</v>
      </c>
      <c r="F63" s="12">
        <v>484.78616889549994</v>
      </c>
      <c r="G63" s="12">
        <v>59.791021386552295</v>
      </c>
      <c r="H63" s="13">
        <v>461.04609731534293</v>
      </c>
      <c r="I63" s="10" t="s">
        <v>185</v>
      </c>
      <c r="J63" s="28" t="s">
        <v>1</v>
      </c>
      <c r="K63" s="11">
        <v>83.612509704426614</v>
      </c>
      <c r="L63" s="12">
        <v>618.50429386500446</v>
      </c>
      <c r="M63" s="12">
        <v>63.834287554817905</v>
      </c>
      <c r="N63" s="12">
        <v>43.095995301448696</v>
      </c>
      <c r="O63" s="13">
        <v>4852.9024097716247</v>
      </c>
      <c r="P63" s="10" t="s">
        <v>185</v>
      </c>
      <c r="Q63" s="28" t="s">
        <v>1</v>
      </c>
      <c r="R63" s="17">
        <v>1E-3</v>
      </c>
      <c r="S63" s="18">
        <v>1E-3</v>
      </c>
      <c r="T63" s="18">
        <v>1E-3</v>
      </c>
      <c r="U63" s="18">
        <v>-4434.9513077577303</v>
      </c>
      <c r="V63" s="11">
        <v>-69.221984848780195</v>
      </c>
      <c r="W63" s="12">
        <v>-133.7171249695044</v>
      </c>
      <c r="X63" s="12">
        <v>-4.0422661682656038</v>
      </c>
      <c r="Y63" s="13">
        <v>1E-3</v>
      </c>
      <c r="Z63" s="10" t="s">
        <v>185</v>
      </c>
      <c r="AA63" s="28" t="s">
        <v>1</v>
      </c>
      <c r="AB63" s="17">
        <v>193967.74989858945</v>
      </c>
      <c r="AC63" s="18">
        <v>113403.73738965827</v>
      </c>
      <c r="AD63" s="18">
        <v>97063.119312388983</v>
      </c>
      <c r="AE63" s="19">
        <v>9116.8811944436948</v>
      </c>
      <c r="AF63" s="145">
        <f t="shared" si="0"/>
        <v>765.95109112424905</v>
      </c>
      <c r="AG63" s="146">
        <f t="shared" si="1"/>
        <v>4895.9984050730736</v>
      </c>
    </row>
    <row r="64" spans="1:34" x14ac:dyDescent="0.3">
      <c r="A64" s="37">
        <v>3</v>
      </c>
      <c r="B64" s="38">
        <v>2026</v>
      </c>
      <c r="C64" s="31" t="s">
        <v>185</v>
      </c>
      <c r="D64" s="28" t="s">
        <v>2</v>
      </c>
      <c r="E64" s="11">
        <v>99.020078882997183</v>
      </c>
      <c r="F64" s="12">
        <v>134.28625858449234</v>
      </c>
      <c r="G64" s="12">
        <v>11.363289254442671</v>
      </c>
      <c r="H64" s="13">
        <v>590.54367606388905</v>
      </c>
      <c r="I64" s="10" t="s">
        <v>185</v>
      </c>
      <c r="J64" s="28" t="s">
        <v>2</v>
      </c>
      <c r="K64" s="11">
        <v>99.138179640639635</v>
      </c>
      <c r="L64" s="12">
        <v>149.92045664406209</v>
      </c>
      <c r="M64" s="12">
        <v>14.351477722298345</v>
      </c>
      <c r="N64" s="12">
        <v>57.464012264116271</v>
      </c>
      <c r="O64" s="13">
        <v>1828.2529078255261</v>
      </c>
      <c r="P64" s="10" t="s">
        <v>185</v>
      </c>
      <c r="Q64" s="28" t="s">
        <v>2</v>
      </c>
      <c r="R64" s="17">
        <v>1E-3</v>
      </c>
      <c r="S64" s="18">
        <v>1E-3</v>
      </c>
      <c r="T64" s="18">
        <v>1E-3</v>
      </c>
      <c r="U64" s="18">
        <v>-1295.1722440257533</v>
      </c>
      <c r="V64" s="11">
        <v>-0.11710075764243323</v>
      </c>
      <c r="W64" s="12">
        <v>-15.633198059569759</v>
      </c>
      <c r="X64" s="12">
        <v>-2.9871884678556717</v>
      </c>
      <c r="Y64" s="13">
        <v>1E-3</v>
      </c>
      <c r="Z64" s="10" t="s">
        <v>185</v>
      </c>
      <c r="AA64" s="28" t="s">
        <v>2</v>
      </c>
      <c r="AB64" s="17">
        <v>194404.44959392014</v>
      </c>
      <c r="AC64" s="18">
        <v>113498.23220126732</v>
      </c>
      <c r="AD64" s="18">
        <v>98400.546265127821</v>
      </c>
      <c r="AE64" s="19">
        <v>9511.6371914951287</v>
      </c>
      <c r="AF64" s="145">
        <f t="shared" si="0"/>
        <v>263.41011400700006</v>
      </c>
      <c r="AG64" s="146">
        <f t="shared" si="1"/>
        <v>1885.7169200896424</v>
      </c>
    </row>
    <row r="65" spans="1:34" x14ac:dyDescent="0.3">
      <c r="A65" s="37">
        <v>4</v>
      </c>
      <c r="B65" s="38">
        <v>2026</v>
      </c>
      <c r="C65" s="31" t="s">
        <v>185</v>
      </c>
      <c r="D65" s="28" t="s">
        <v>3</v>
      </c>
      <c r="E65" s="11">
        <v>64.003946586899872</v>
      </c>
      <c r="F65" s="12">
        <v>95.345026757947807</v>
      </c>
      <c r="G65" s="12">
        <v>9.1722173400134075</v>
      </c>
      <c r="H65" s="13">
        <v>450.62665589452922</v>
      </c>
      <c r="I65" s="10" t="s">
        <v>185</v>
      </c>
      <c r="J65" s="28" t="s">
        <v>3</v>
      </c>
      <c r="K65" s="11">
        <v>66.983857503924227</v>
      </c>
      <c r="L65" s="12">
        <v>109.02082948090285</v>
      </c>
      <c r="M65" s="12">
        <v>11.986885454018212</v>
      </c>
      <c r="N65" s="12">
        <v>23.284408749123251</v>
      </c>
      <c r="O65" s="13">
        <v>1289.5437230130674</v>
      </c>
      <c r="P65" s="10" t="s">
        <v>185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-804.12477627462226</v>
      </c>
      <c r="V65" s="11">
        <v>-2.9789109170243631</v>
      </c>
      <c r="W65" s="12">
        <v>-13.674802722955031</v>
      </c>
      <c r="X65" s="12">
        <v>-2.8136681140048103</v>
      </c>
      <c r="Y65" s="13">
        <v>-58.07469959303905</v>
      </c>
      <c r="Z65" s="10" t="s">
        <v>185</v>
      </c>
      <c r="AA65" s="28" t="s">
        <v>3</v>
      </c>
      <c r="AB65" s="17">
        <v>196928.65787139043</v>
      </c>
      <c r="AC65" s="18">
        <v>113322.07223972108</v>
      </c>
      <c r="AD65" s="18">
        <v>97641.842191109026</v>
      </c>
      <c r="AE65" s="19">
        <v>9852.9034080599195</v>
      </c>
      <c r="AF65" s="145">
        <f t="shared" si="0"/>
        <v>187.99157243884528</v>
      </c>
      <c r="AG65" s="146">
        <f t="shared" si="1"/>
        <v>1312.8281317621907</v>
      </c>
    </row>
    <row r="66" spans="1:34" x14ac:dyDescent="0.3">
      <c r="A66" s="37">
        <v>5</v>
      </c>
      <c r="B66" s="38">
        <v>2026</v>
      </c>
      <c r="C66" s="31" t="s">
        <v>185</v>
      </c>
      <c r="D66" s="28" t="s">
        <v>4</v>
      </c>
      <c r="E66" s="11">
        <v>50.206749399008338</v>
      </c>
      <c r="F66" s="12">
        <v>125.88189112827844</v>
      </c>
      <c r="G66" s="12">
        <v>12.494187611530418</v>
      </c>
      <c r="H66" s="13">
        <v>1549.2040567512761</v>
      </c>
      <c r="I66" s="10" t="s">
        <v>185</v>
      </c>
      <c r="J66" s="28" t="s">
        <v>4</v>
      </c>
      <c r="K66" s="11">
        <v>26.955276029288974</v>
      </c>
      <c r="L66" s="12">
        <v>81.625754159396394</v>
      </c>
      <c r="M66" s="12">
        <v>10.495237351460441</v>
      </c>
      <c r="N66" s="12">
        <v>34.141059322235137</v>
      </c>
      <c r="O66" s="13">
        <v>1505.8566999639784</v>
      </c>
      <c r="P66" s="10" t="s">
        <v>185</v>
      </c>
      <c r="Q66" s="28" t="s">
        <v>4</v>
      </c>
      <c r="R66" s="17">
        <v>1E-3</v>
      </c>
      <c r="S66" s="18">
        <v>1E-3</v>
      </c>
      <c r="T66" s="18">
        <v>1E-3</v>
      </c>
      <c r="U66" s="18">
        <v>-48.86840212797631</v>
      </c>
      <c r="V66" s="11">
        <v>23.252473369719354</v>
      </c>
      <c r="W66" s="12">
        <v>44.25713696888203</v>
      </c>
      <c r="X66" s="12">
        <v>1.9999502600699788</v>
      </c>
      <c r="Y66" s="13">
        <v>58.076699593039045</v>
      </c>
      <c r="Z66" s="10" t="s">
        <v>185</v>
      </c>
      <c r="AA66" s="28" t="s">
        <v>4</v>
      </c>
      <c r="AB66" s="17">
        <v>195806.90954494479</v>
      </c>
      <c r="AC66" s="18">
        <v>109593.02352516406</v>
      </c>
      <c r="AD66" s="18">
        <v>96093.910543778882</v>
      </c>
      <c r="AE66" s="19">
        <v>9345.7665206299462</v>
      </c>
      <c r="AF66" s="145">
        <f t="shared" si="0"/>
        <v>119.07626754014581</v>
      </c>
      <c r="AG66" s="146">
        <f t="shared" si="1"/>
        <v>1539.9977592862135</v>
      </c>
    </row>
    <row r="67" spans="1:34" x14ac:dyDescent="0.3">
      <c r="A67" s="37">
        <v>6</v>
      </c>
      <c r="B67" s="38">
        <v>2026</v>
      </c>
      <c r="C67" s="31" t="s">
        <v>185</v>
      </c>
      <c r="D67" s="28" t="s">
        <v>5</v>
      </c>
      <c r="E67" s="11">
        <v>6.291659038243389</v>
      </c>
      <c r="F67" s="12">
        <v>386.58310686793106</v>
      </c>
      <c r="G67" s="12">
        <v>48.392883575283854</v>
      </c>
      <c r="H67" s="13">
        <v>563.92461080215514</v>
      </c>
      <c r="I67" s="10" t="s">
        <v>185</v>
      </c>
      <c r="J67" s="28" t="s">
        <v>5</v>
      </c>
      <c r="K67" s="11">
        <v>28.999952797477029</v>
      </c>
      <c r="L67" s="12">
        <v>277.5609002497963</v>
      </c>
      <c r="M67" s="12">
        <v>39.476783301044392</v>
      </c>
      <c r="N67" s="12">
        <v>57.309965538841055</v>
      </c>
      <c r="O67" s="13">
        <v>3879.6965019184554</v>
      </c>
      <c r="P67" s="10" t="s">
        <v>185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-3373.0808566551414</v>
      </c>
      <c r="V67" s="11">
        <v>-22.707293759233654</v>
      </c>
      <c r="W67" s="12">
        <v>109.02320661813475</v>
      </c>
      <c r="X67" s="12">
        <v>8.917100274239445</v>
      </c>
      <c r="Y67" s="13">
        <v>1E-3</v>
      </c>
      <c r="Z67" s="10" t="s">
        <v>185</v>
      </c>
      <c r="AA67" s="28" t="s">
        <v>5</v>
      </c>
      <c r="AB67" s="17">
        <v>197475.53806116708</v>
      </c>
      <c r="AC67" s="18">
        <v>113859.5264617263</v>
      </c>
      <c r="AD67" s="18">
        <v>95003.334663981397</v>
      </c>
      <c r="AE67" s="19">
        <v>8992.0575140529781</v>
      </c>
      <c r="AF67" s="145">
        <f t="shared" si="0"/>
        <v>346.03763634831773</v>
      </c>
      <c r="AG67" s="146">
        <f t="shared" si="1"/>
        <v>3937.0064674572964</v>
      </c>
    </row>
    <row r="68" spans="1:34" ht="16.2" thickBot="1" x14ac:dyDescent="0.35">
      <c r="A68" s="39">
        <v>7</v>
      </c>
      <c r="B68" s="54">
        <v>2026</v>
      </c>
      <c r="C68" s="32" t="s">
        <v>185</v>
      </c>
      <c r="D68" s="29" t="s">
        <v>6</v>
      </c>
      <c r="E68" s="21">
        <v>167.39056377010689</v>
      </c>
      <c r="F68" s="22">
        <v>152.57994419990797</v>
      </c>
      <c r="G68" s="22">
        <v>16.717968966357063</v>
      </c>
      <c r="H68" s="23">
        <v>242.67117679262816</v>
      </c>
      <c r="I68" s="20" t="s">
        <v>185</v>
      </c>
      <c r="J68" s="29" t="s">
        <v>6</v>
      </c>
      <c r="K68" s="21">
        <v>178.9371749574365</v>
      </c>
      <c r="L68" s="22">
        <v>160.14512327917461</v>
      </c>
      <c r="M68" s="22">
        <v>18.106788310006259</v>
      </c>
      <c r="N68" s="22">
        <v>36.124233999895544</v>
      </c>
      <c r="O68" s="23">
        <v>2422.2848241801344</v>
      </c>
      <c r="P68" s="20" t="s">
        <v>185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-2215.7368813874018</v>
      </c>
      <c r="V68" s="21">
        <v>-11.545611187329607</v>
      </c>
      <c r="W68" s="22">
        <v>-7.564179079266661</v>
      </c>
      <c r="X68" s="22">
        <v>-1.3878193436491955</v>
      </c>
      <c r="Y68" s="23">
        <v>1E-3</v>
      </c>
      <c r="Z68" s="20" t="s">
        <v>185</v>
      </c>
      <c r="AA68" s="29" t="s">
        <v>6</v>
      </c>
      <c r="AB68" s="24">
        <v>196927.36328869939</v>
      </c>
      <c r="AC68" s="25">
        <v>112666.78833323321</v>
      </c>
      <c r="AD68" s="25">
        <v>95399.038103591098</v>
      </c>
      <c r="AE68" s="26">
        <v>8985.5899967038786</v>
      </c>
      <c r="AF68" s="147">
        <f t="shared" si="0"/>
        <v>357.18908654661738</v>
      </c>
      <c r="AG68" s="148">
        <f t="shared" si="1"/>
        <v>2458.4090581800301</v>
      </c>
    </row>
    <row r="69" spans="1:34" x14ac:dyDescent="0.3">
      <c r="A69" s="35">
        <v>1</v>
      </c>
      <c r="B69" s="36">
        <v>2027</v>
      </c>
      <c r="C69" s="33" t="s">
        <v>186</v>
      </c>
      <c r="D69" s="27" t="s">
        <v>0</v>
      </c>
      <c r="E69" s="7">
        <v>254.52910917905794</v>
      </c>
      <c r="F69" s="8">
        <v>136.32163144129024</v>
      </c>
      <c r="G69" s="8">
        <v>16.909054031402839</v>
      </c>
      <c r="H69" s="9">
        <v>2329.5567250648082</v>
      </c>
      <c r="I69" s="6" t="s">
        <v>186</v>
      </c>
      <c r="J69" s="27" t="s">
        <v>0</v>
      </c>
      <c r="K69" s="7">
        <v>175.00947772348923</v>
      </c>
      <c r="L69" s="8">
        <v>117.28161838931933</v>
      </c>
      <c r="M69" s="8">
        <v>16.515746473446512</v>
      </c>
      <c r="N69" s="8">
        <v>73.190653439409985</v>
      </c>
      <c r="O69" s="9">
        <v>2829.1003095826313</v>
      </c>
      <c r="P69" s="6" t="s">
        <v>186</v>
      </c>
      <c r="Q69" s="27" t="s">
        <v>0</v>
      </c>
      <c r="R69" s="14">
        <v>1E-3</v>
      </c>
      <c r="S69" s="15">
        <v>1E-3</v>
      </c>
      <c r="T69" s="15">
        <v>1E-3</v>
      </c>
      <c r="U69" s="15">
        <v>-572.7332379572332</v>
      </c>
      <c r="V69" s="7">
        <v>79.520631455568704</v>
      </c>
      <c r="W69" s="8">
        <v>19.041013051970911</v>
      </c>
      <c r="X69" s="8">
        <v>0.39430755795632516</v>
      </c>
      <c r="Y69" s="9">
        <v>1E-3</v>
      </c>
      <c r="Z69" s="6" t="s">
        <v>186</v>
      </c>
      <c r="AA69" s="27" t="s">
        <v>0</v>
      </c>
      <c r="AB69" s="14">
        <v>223082.59434523433</v>
      </c>
      <c r="AC69" s="15">
        <v>113576.25803753268</v>
      </c>
      <c r="AD69" s="15">
        <v>93880.023735706913</v>
      </c>
      <c r="AE69" s="16">
        <v>9767.8667457524607</v>
      </c>
      <c r="AF69" s="143">
        <f t="shared" si="0"/>
        <v>308.80684258625502</v>
      </c>
      <c r="AG69" s="144">
        <f t="shared" si="1"/>
        <v>2902.2909630220415</v>
      </c>
      <c r="AH69" s="458"/>
    </row>
    <row r="70" spans="1:34" x14ac:dyDescent="0.3">
      <c r="A70" s="37">
        <v>2</v>
      </c>
      <c r="B70" s="38">
        <v>2027</v>
      </c>
      <c r="C70" s="31" t="s">
        <v>186</v>
      </c>
      <c r="D70" s="28" t="s">
        <v>1</v>
      </c>
      <c r="E70" s="11">
        <v>13.700855948127428</v>
      </c>
      <c r="F70" s="12">
        <v>525.41458114428144</v>
      </c>
      <c r="G70" s="12">
        <v>66.674914592220532</v>
      </c>
      <c r="H70" s="13">
        <v>491.59297955918976</v>
      </c>
      <c r="I70" s="10" t="s">
        <v>186</v>
      </c>
      <c r="J70" s="28" t="s">
        <v>1</v>
      </c>
      <c r="K70" s="11">
        <v>79.840557406110321</v>
      </c>
      <c r="L70" s="12">
        <v>670.63110717457198</v>
      </c>
      <c r="M70" s="12">
        <v>71.22037960288759</v>
      </c>
      <c r="N70" s="12">
        <v>43.196607053919706</v>
      </c>
      <c r="O70" s="13">
        <v>5322.3709841706695</v>
      </c>
      <c r="P70" s="10" t="s">
        <v>186</v>
      </c>
      <c r="Q70" s="28" t="s">
        <v>1</v>
      </c>
      <c r="R70" s="17">
        <v>1E-3</v>
      </c>
      <c r="S70" s="18">
        <v>1E-3</v>
      </c>
      <c r="T70" s="18">
        <v>1E-3</v>
      </c>
      <c r="U70" s="18">
        <v>-4873.9736116653994</v>
      </c>
      <c r="V70" s="11">
        <v>-66.138701457982904</v>
      </c>
      <c r="W70" s="12">
        <v>-145.2155260302907</v>
      </c>
      <c r="X70" s="12">
        <v>-4.544465010667067</v>
      </c>
      <c r="Y70" s="13">
        <v>1E-3</v>
      </c>
      <c r="Z70" s="10" t="s">
        <v>186</v>
      </c>
      <c r="AA70" s="28" t="s">
        <v>1</v>
      </c>
      <c r="AB70" s="17">
        <v>224813.05785946132</v>
      </c>
      <c r="AC70" s="18">
        <v>113234.37396013946</v>
      </c>
      <c r="AD70" s="18">
        <v>95157.092011275177</v>
      </c>
      <c r="AE70" s="19">
        <v>9404.7136979790557</v>
      </c>
      <c r="AF70" s="145">
        <f t="shared" si="0"/>
        <v>821.69204418356981</v>
      </c>
      <c r="AG70" s="146">
        <f t="shared" si="1"/>
        <v>5365.5675912245897</v>
      </c>
    </row>
    <row r="71" spans="1:34" x14ac:dyDescent="0.3">
      <c r="A71" s="37">
        <v>3</v>
      </c>
      <c r="B71" s="38">
        <v>2027</v>
      </c>
      <c r="C71" s="31" t="s">
        <v>186</v>
      </c>
      <c r="D71" s="28" t="s">
        <v>2</v>
      </c>
      <c r="E71" s="11">
        <v>94.726848295549985</v>
      </c>
      <c r="F71" s="12">
        <v>145.53451739668012</v>
      </c>
      <c r="G71" s="12">
        <v>12.675504317166425</v>
      </c>
      <c r="H71" s="13">
        <v>629.33713363108745</v>
      </c>
      <c r="I71" s="10" t="s">
        <v>186</v>
      </c>
      <c r="J71" s="28" t="s">
        <v>2</v>
      </c>
      <c r="K71" s="11">
        <v>95.006623440961221</v>
      </c>
      <c r="L71" s="12">
        <v>166.3812751294312</v>
      </c>
      <c r="M71" s="12">
        <v>16.345234195974111</v>
      </c>
      <c r="N71" s="12">
        <v>61.246349442834813</v>
      </c>
      <c r="O71" s="13">
        <v>1920.1494348413639</v>
      </c>
      <c r="P71" s="10" t="s">
        <v>186</v>
      </c>
      <c r="Q71" s="28" t="s">
        <v>2</v>
      </c>
      <c r="R71" s="17">
        <v>1E-3</v>
      </c>
      <c r="S71" s="18">
        <v>1E-3</v>
      </c>
      <c r="T71" s="18">
        <v>1E-3</v>
      </c>
      <c r="U71" s="18">
        <v>-1352.0576506531113</v>
      </c>
      <c r="V71" s="11">
        <v>-0.27877514541122683</v>
      </c>
      <c r="W71" s="12">
        <v>-20.845757732750979</v>
      </c>
      <c r="X71" s="12">
        <v>-3.6687298788076883</v>
      </c>
      <c r="Y71" s="13">
        <v>1E-3</v>
      </c>
      <c r="Z71" s="10" t="s">
        <v>186</v>
      </c>
      <c r="AA71" s="28" t="s">
        <v>2</v>
      </c>
      <c r="AB71" s="17">
        <v>225976.14609255231</v>
      </c>
      <c r="AC71" s="18">
        <v>113314.3450979504</v>
      </c>
      <c r="AD71" s="18">
        <v>96495.155016503821</v>
      </c>
      <c r="AE71" s="19">
        <v>9799.3998010221148</v>
      </c>
      <c r="AF71" s="145">
        <f t="shared" ref="AF71:AF89" si="2">SUM(K71:M71)</f>
        <v>277.73313276636651</v>
      </c>
      <c r="AG71" s="146">
        <f t="shared" ref="AG71:AG89" si="3">SUM(N71:O71)</f>
        <v>1981.3957842841987</v>
      </c>
    </row>
    <row r="72" spans="1:34" x14ac:dyDescent="0.3">
      <c r="A72" s="37">
        <v>4</v>
      </c>
      <c r="B72" s="38">
        <v>2027</v>
      </c>
      <c r="C72" s="31" t="s">
        <v>186</v>
      </c>
      <c r="D72" s="28" t="s">
        <v>3</v>
      </c>
      <c r="E72" s="11">
        <v>60.896690849284489</v>
      </c>
      <c r="F72" s="12">
        <v>103.31896388612219</v>
      </c>
      <c r="G72" s="12">
        <v>10.230209967526246</v>
      </c>
      <c r="H72" s="13">
        <v>481.38253902131635</v>
      </c>
      <c r="I72" s="10" t="s">
        <v>186</v>
      </c>
      <c r="J72" s="28" t="s">
        <v>3</v>
      </c>
      <c r="K72" s="11">
        <v>64.270732988578885</v>
      </c>
      <c r="L72" s="12">
        <v>118.0427259792954</v>
      </c>
      <c r="M72" s="12">
        <v>13.398658362746989</v>
      </c>
      <c r="N72" s="12">
        <v>23.899730726366105</v>
      </c>
      <c r="O72" s="13">
        <v>1359.4978406380824</v>
      </c>
      <c r="P72" s="10" t="s">
        <v>186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-818.13723902937909</v>
      </c>
      <c r="V72" s="11">
        <v>-3.3730421392944012</v>
      </c>
      <c r="W72" s="12">
        <v>-14.722762093173207</v>
      </c>
      <c r="X72" s="12">
        <v>-3.1674483952207413</v>
      </c>
      <c r="Y72" s="13">
        <v>-83.875793313752951</v>
      </c>
      <c r="Z72" s="10" t="s">
        <v>186</v>
      </c>
      <c r="AA72" s="28" t="s">
        <v>3</v>
      </c>
      <c r="AB72" s="17">
        <v>226809.65880387236</v>
      </c>
      <c r="AC72" s="18">
        <v>113103.6158895969</v>
      </c>
      <c r="AD72" s="18">
        <v>95736.581762201808</v>
      </c>
      <c r="AE72" s="19">
        <v>10140.611801069384</v>
      </c>
      <c r="AF72" s="145">
        <f t="shared" si="2"/>
        <v>195.71211733062128</v>
      </c>
      <c r="AG72" s="146">
        <f t="shared" si="3"/>
        <v>1383.3975713644486</v>
      </c>
    </row>
    <row r="73" spans="1:34" x14ac:dyDescent="0.3">
      <c r="A73" s="37">
        <v>5</v>
      </c>
      <c r="B73" s="38">
        <v>2027</v>
      </c>
      <c r="C73" s="31" t="s">
        <v>186</v>
      </c>
      <c r="D73" s="28" t="s">
        <v>4</v>
      </c>
      <c r="E73" s="11">
        <v>47.794658659477619</v>
      </c>
      <c r="F73" s="12">
        <v>136.45553776649655</v>
      </c>
      <c r="G73" s="12">
        <v>13.931443455745491</v>
      </c>
      <c r="H73" s="13">
        <v>1656.5057418635652</v>
      </c>
      <c r="I73" s="10" t="s">
        <v>186</v>
      </c>
      <c r="J73" s="28" t="s">
        <v>4</v>
      </c>
      <c r="K73" s="11">
        <v>25.397424141982547</v>
      </c>
      <c r="L73" s="12">
        <v>88.251214602984007</v>
      </c>
      <c r="M73" s="12">
        <v>11.840623297586726</v>
      </c>
      <c r="N73" s="12">
        <v>36.819851262065178</v>
      </c>
      <c r="O73" s="13">
        <v>1604.3661379721148</v>
      </c>
      <c r="P73" s="10" t="s">
        <v>186</v>
      </c>
      <c r="Q73" s="28" t="s">
        <v>4</v>
      </c>
      <c r="R73" s="17">
        <v>1E-3</v>
      </c>
      <c r="S73" s="18">
        <v>1E-3</v>
      </c>
      <c r="T73" s="18">
        <v>1E-3</v>
      </c>
      <c r="U73" s="18">
        <v>-68.556040684367673</v>
      </c>
      <c r="V73" s="11">
        <v>22.398234517495066</v>
      </c>
      <c r="W73" s="12">
        <v>48.205323163512539</v>
      </c>
      <c r="X73" s="12">
        <v>2.0918201581587645</v>
      </c>
      <c r="Y73" s="13">
        <v>83.87779331375296</v>
      </c>
      <c r="Z73" s="10" t="s">
        <v>186</v>
      </c>
      <c r="AA73" s="28" t="s">
        <v>4</v>
      </c>
      <c r="AB73" s="17">
        <v>225829.09192387547</v>
      </c>
      <c r="AC73" s="18">
        <v>109459.00866685776</v>
      </c>
      <c r="AD73" s="18">
        <v>94187.080126897199</v>
      </c>
      <c r="AE73" s="19">
        <v>9633.287720817023</v>
      </c>
      <c r="AF73" s="145">
        <f t="shared" si="2"/>
        <v>125.48926204255328</v>
      </c>
      <c r="AG73" s="146">
        <f t="shared" si="3"/>
        <v>1641.1859892341799</v>
      </c>
    </row>
    <row r="74" spans="1:34" x14ac:dyDescent="0.3">
      <c r="A74" s="37">
        <v>6</v>
      </c>
      <c r="B74" s="38">
        <v>2027</v>
      </c>
      <c r="C74" s="31" t="s">
        <v>186</v>
      </c>
      <c r="D74" s="28" t="s">
        <v>5</v>
      </c>
      <c r="E74" s="11">
        <v>5.9853649358429406</v>
      </c>
      <c r="F74" s="12">
        <v>418.84563004877384</v>
      </c>
      <c r="G74" s="12">
        <v>53.948831656926451</v>
      </c>
      <c r="H74" s="13">
        <v>603.41579408094049</v>
      </c>
      <c r="I74" s="10" t="s">
        <v>186</v>
      </c>
      <c r="J74" s="28" t="s">
        <v>5</v>
      </c>
      <c r="K74" s="11">
        <v>26.659793251650136</v>
      </c>
      <c r="L74" s="12">
        <v>296.53958922749894</v>
      </c>
      <c r="M74" s="12">
        <v>43.634238584347536</v>
      </c>
      <c r="N74" s="12">
        <v>63.220072429163707</v>
      </c>
      <c r="O74" s="13">
        <v>4258.7552952258966</v>
      </c>
      <c r="P74" s="10" t="s">
        <v>186</v>
      </c>
      <c r="Q74" s="28" t="s">
        <v>5</v>
      </c>
      <c r="R74" s="17">
        <v>1E-3</v>
      </c>
      <c r="S74" s="18">
        <v>1E-3</v>
      </c>
      <c r="T74" s="18">
        <v>1E-3</v>
      </c>
      <c r="U74" s="18">
        <v>-3718.5585735741192</v>
      </c>
      <c r="V74" s="11">
        <v>-20.673428315807097</v>
      </c>
      <c r="W74" s="12">
        <v>122.30704082127485</v>
      </c>
      <c r="X74" s="12">
        <v>10.315593072578771</v>
      </c>
      <c r="Y74" s="13">
        <v>1E-3</v>
      </c>
      <c r="Z74" s="10" t="s">
        <v>186</v>
      </c>
      <c r="AA74" s="28" t="s">
        <v>5</v>
      </c>
      <c r="AB74" s="17">
        <v>227581.14375151056</v>
      </c>
      <c r="AC74" s="18">
        <v>113664.12020444828</v>
      </c>
      <c r="AD74" s="18">
        <v>93096.468956583602</v>
      </c>
      <c r="AE74" s="19">
        <v>9279.6195035121709</v>
      </c>
      <c r="AF74" s="145">
        <f t="shared" si="2"/>
        <v>366.83362106349659</v>
      </c>
      <c r="AG74" s="146">
        <f t="shared" si="3"/>
        <v>4321.9753676550599</v>
      </c>
    </row>
    <row r="75" spans="1:34" ht="16.2" thickBot="1" x14ac:dyDescent="0.35">
      <c r="A75" s="39">
        <v>7</v>
      </c>
      <c r="B75" s="54">
        <v>2027</v>
      </c>
      <c r="C75" s="32" t="s">
        <v>186</v>
      </c>
      <c r="D75" s="29" t="s">
        <v>6</v>
      </c>
      <c r="E75" s="21">
        <v>159.24183846167622</v>
      </c>
      <c r="F75" s="22">
        <v>165.32363314406476</v>
      </c>
      <c r="G75" s="22">
        <v>18.638386123359929</v>
      </c>
      <c r="H75" s="23">
        <v>259.67708015469907</v>
      </c>
      <c r="I75" s="20" t="s">
        <v>186</v>
      </c>
      <c r="J75" s="29" t="s">
        <v>6</v>
      </c>
      <c r="K75" s="21">
        <v>170.69075737624431</v>
      </c>
      <c r="L75" s="22">
        <v>174.0869643246082</v>
      </c>
      <c r="M75" s="22">
        <v>20.053463627358298</v>
      </c>
      <c r="N75" s="22">
        <v>37.375659820676411</v>
      </c>
      <c r="O75" s="23">
        <v>2515.8796427582874</v>
      </c>
      <c r="P75" s="20" t="s">
        <v>186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-2293.5772224242646</v>
      </c>
      <c r="V75" s="21">
        <v>-11.447918914568126</v>
      </c>
      <c r="W75" s="22">
        <v>-8.7623311805434287</v>
      </c>
      <c r="X75" s="22">
        <v>-1.4140775039983651</v>
      </c>
      <c r="Y75" s="23">
        <v>1E-3</v>
      </c>
      <c r="Z75" s="20" t="s">
        <v>186</v>
      </c>
      <c r="AA75" s="29" t="s">
        <v>6</v>
      </c>
      <c r="AB75" s="24">
        <v>226794.20501699604</v>
      </c>
      <c r="AC75" s="25">
        <v>112382.34460070342</v>
      </c>
      <c r="AD75" s="25">
        <v>93495.561426902335</v>
      </c>
      <c r="AE75" s="26">
        <v>9273.3393737002589</v>
      </c>
      <c r="AF75" s="147">
        <f t="shared" si="2"/>
        <v>364.83118532821084</v>
      </c>
      <c r="AG75" s="148">
        <f t="shared" si="3"/>
        <v>2553.2553025789639</v>
      </c>
    </row>
    <row r="76" spans="1:34" x14ac:dyDescent="0.3">
      <c r="A76" s="35">
        <v>1</v>
      </c>
      <c r="B76" s="36">
        <v>2028</v>
      </c>
      <c r="C76" s="33" t="s">
        <v>187</v>
      </c>
      <c r="D76" s="27" t="s">
        <v>0</v>
      </c>
      <c r="E76" s="7">
        <v>240.96551740942448</v>
      </c>
      <c r="F76" s="8">
        <v>148.47896345509795</v>
      </c>
      <c r="G76" s="8">
        <v>19.00275527643921</v>
      </c>
      <c r="H76" s="9">
        <v>2493.7679427808025</v>
      </c>
      <c r="I76" s="6" t="s">
        <v>187</v>
      </c>
      <c r="J76" s="27" t="s">
        <v>0</v>
      </c>
      <c r="K76" s="7">
        <v>166.0073356703798</v>
      </c>
      <c r="L76" s="8">
        <v>127.42941746632843</v>
      </c>
      <c r="M76" s="8">
        <v>18.528693150854046</v>
      </c>
      <c r="N76" s="8">
        <v>79.914925783393613</v>
      </c>
      <c r="O76" s="9">
        <v>2890.2616877205401</v>
      </c>
      <c r="P76" s="6" t="s">
        <v>187</v>
      </c>
      <c r="Q76" s="27" t="s">
        <v>0</v>
      </c>
      <c r="R76" s="14">
        <v>1E-3</v>
      </c>
      <c r="S76" s="15">
        <v>1E-3</v>
      </c>
      <c r="T76" s="15">
        <v>1E-3</v>
      </c>
      <c r="U76" s="15">
        <v>-476.40767072313139</v>
      </c>
      <c r="V76" s="7">
        <v>74.959181739044666</v>
      </c>
      <c r="W76" s="8">
        <v>21.050545988769521</v>
      </c>
      <c r="X76" s="8">
        <v>0.47506212558515853</v>
      </c>
      <c r="Y76" s="9">
        <v>1E-3</v>
      </c>
      <c r="Z76" s="6" t="s">
        <v>187</v>
      </c>
      <c r="AA76" s="27" t="s">
        <v>0</v>
      </c>
      <c r="AB76" s="14">
        <v>261084.74240266421</v>
      </c>
      <c r="AC76" s="15">
        <v>112596.11376353112</v>
      </c>
      <c r="AD76" s="15">
        <v>91235.302727836184</v>
      </c>
      <c r="AE76" s="16">
        <v>10066.131889799175</v>
      </c>
      <c r="AF76" s="143">
        <f t="shared" si="2"/>
        <v>311.96544628756232</v>
      </c>
      <c r="AG76" s="144">
        <f t="shared" si="3"/>
        <v>2970.1766135039338</v>
      </c>
      <c r="AH76" s="374"/>
    </row>
    <row r="77" spans="1:34" x14ac:dyDescent="0.3">
      <c r="A77" s="37">
        <v>2</v>
      </c>
      <c r="B77" s="38">
        <v>2028</v>
      </c>
      <c r="C77" s="31" t="s">
        <v>187</v>
      </c>
      <c r="D77" s="28" t="s">
        <v>1</v>
      </c>
      <c r="E77" s="11">
        <v>12.946828738902063</v>
      </c>
      <c r="F77" s="12">
        <v>572.54510248744918</v>
      </c>
      <c r="G77" s="12">
        <v>74.953701430266435</v>
      </c>
      <c r="H77" s="13">
        <v>526.54511744206479</v>
      </c>
      <c r="I77" s="10" t="s">
        <v>187</v>
      </c>
      <c r="J77" s="28" t="s">
        <v>1</v>
      </c>
      <c r="K77" s="11">
        <v>75.662165206963806</v>
      </c>
      <c r="L77" s="12">
        <v>730.66288412526342</v>
      </c>
      <c r="M77" s="12">
        <v>80.031787967702002</v>
      </c>
      <c r="N77" s="12">
        <v>43.380204920031268</v>
      </c>
      <c r="O77" s="13">
        <v>5869.2156166765899</v>
      </c>
      <c r="P77" s="10" t="s">
        <v>187</v>
      </c>
      <c r="Q77" s="28" t="s">
        <v>1</v>
      </c>
      <c r="R77" s="17">
        <v>1E-3</v>
      </c>
      <c r="S77" s="18">
        <v>1E-3</v>
      </c>
      <c r="T77" s="18">
        <v>1E-3</v>
      </c>
      <c r="U77" s="18">
        <v>-5386.049704154555</v>
      </c>
      <c r="V77" s="11">
        <v>-62.714336468061902</v>
      </c>
      <c r="W77" s="12">
        <v>-158.1167816378142</v>
      </c>
      <c r="X77" s="12">
        <v>-5.0770865374355552</v>
      </c>
      <c r="Y77" s="13">
        <v>1E-3</v>
      </c>
      <c r="Z77" s="10" t="s">
        <v>187</v>
      </c>
      <c r="AA77" s="28" t="s">
        <v>1</v>
      </c>
      <c r="AB77" s="17">
        <v>263021.09360512783</v>
      </c>
      <c r="AC77" s="18">
        <v>112336.00922444448</v>
      </c>
      <c r="AD77" s="18">
        <v>92512.024404858967</v>
      </c>
      <c r="AE77" s="19">
        <v>9703.0903379153642</v>
      </c>
      <c r="AF77" s="145">
        <f t="shared" si="2"/>
        <v>886.35683729992923</v>
      </c>
      <c r="AG77" s="146">
        <f t="shared" si="3"/>
        <v>5912.5958215966211</v>
      </c>
    </row>
    <row r="78" spans="1:34" x14ac:dyDescent="0.3">
      <c r="A78" s="37">
        <v>3</v>
      </c>
      <c r="B78" s="38">
        <v>2028</v>
      </c>
      <c r="C78" s="31" t="s">
        <v>187</v>
      </c>
      <c r="D78" s="28" t="s">
        <v>2</v>
      </c>
      <c r="E78" s="11">
        <v>89.573349282084621</v>
      </c>
      <c r="F78" s="12">
        <v>158.62249019615061</v>
      </c>
      <c r="G78" s="12">
        <v>14.255266040108355</v>
      </c>
      <c r="H78" s="13">
        <v>673.68295051153223</v>
      </c>
      <c r="I78" s="10" t="s">
        <v>187</v>
      </c>
      <c r="J78" s="28" t="s">
        <v>2</v>
      </c>
      <c r="K78" s="11">
        <v>90.561729691940684</v>
      </c>
      <c r="L78" s="12">
        <v>185.65553081991098</v>
      </c>
      <c r="M78" s="12">
        <v>18.772719955725982</v>
      </c>
      <c r="N78" s="12">
        <v>65.045987714350019</v>
      </c>
      <c r="O78" s="13">
        <v>2022.458534514142</v>
      </c>
      <c r="P78" s="10" t="s">
        <v>187</v>
      </c>
      <c r="Q78" s="28" t="s">
        <v>2</v>
      </c>
      <c r="R78" s="17">
        <v>1E-3</v>
      </c>
      <c r="S78" s="18">
        <v>1E-3</v>
      </c>
      <c r="T78" s="18">
        <v>1E-3</v>
      </c>
      <c r="U78" s="18">
        <v>-1413.8205717169596</v>
      </c>
      <c r="V78" s="11">
        <v>-0.98738040985606512</v>
      </c>
      <c r="W78" s="12">
        <v>-27.032040623760366</v>
      </c>
      <c r="X78" s="12">
        <v>-4.5164539156176229</v>
      </c>
      <c r="Y78" s="13">
        <v>1E-3</v>
      </c>
      <c r="Z78" s="10" t="s">
        <v>187</v>
      </c>
      <c r="AA78" s="28" t="s">
        <v>2</v>
      </c>
      <c r="AB78" s="17">
        <v>264036.02818113368</v>
      </c>
      <c r="AC78" s="18">
        <v>112414.90381946252</v>
      </c>
      <c r="AD78" s="18">
        <v>93851.775239114751</v>
      </c>
      <c r="AE78" s="19">
        <v>10097.710379166663</v>
      </c>
      <c r="AF78" s="145">
        <f t="shared" si="2"/>
        <v>294.98998046757765</v>
      </c>
      <c r="AG78" s="146">
        <f t="shared" si="3"/>
        <v>2087.5045222284921</v>
      </c>
    </row>
    <row r="79" spans="1:34" x14ac:dyDescent="0.3">
      <c r="A79" s="37">
        <v>4</v>
      </c>
      <c r="B79" s="38">
        <v>2028</v>
      </c>
      <c r="C79" s="31" t="s">
        <v>187</v>
      </c>
      <c r="D79" s="28" t="s">
        <v>3</v>
      </c>
      <c r="E79" s="11">
        <v>57.509372938838453</v>
      </c>
      <c r="F79" s="12">
        <v>112.56054678865806</v>
      </c>
      <c r="G79" s="12">
        <v>11.504605848868463</v>
      </c>
      <c r="H79" s="13">
        <v>516.52730212133781</v>
      </c>
      <c r="I79" s="10" t="s">
        <v>187</v>
      </c>
      <c r="J79" s="28" t="s">
        <v>3</v>
      </c>
      <c r="K79" s="11">
        <v>61.064502831735211</v>
      </c>
      <c r="L79" s="12">
        <v>128.50224576225682</v>
      </c>
      <c r="M79" s="12">
        <v>15.106188878267991</v>
      </c>
      <c r="N79" s="12">
        <v>24.52041033109483</v>
      </c>
      <c r="O79" s="13">
        <v>1440.1008778706478</v>
      </c>
      <c r="P79" s="10" t="s">
        <v>187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-835.04094678334809</v>
      </c>
      <c r="V79" s="11">
        <v>-3.5541298928967531</v>
      </c>
      <c r="W79" s="12">
        <v>-15.940698973598755</v>
      </c>
      <c r="X79" s="12">
        <v>-3.600583029399528</v>
      </c>
      <c r="Y79" s="13">
        <v>-113.05103929705649</v>
      </c>
      <c r="Z79" s="10" t="s">
        <v>187</v>
      </c>
      <c r="AA79" s="28" t="s">
        <v>3</v>
      </c>
      <c r="AB79" s="17">
        <v>264271.85808819014</v>
      </c>
      <c r="AC79" s="18">
        <v>112122.45793350856</v>
      </c>
      <c r="AD79" s="18">
        <v>93086.770949689439</v>
      </c>
      <c r="AE79" s="19">
        <v>10438.869807919838</v>
      </c>
      <c r="AF79" s="145">
        <f t="shared" si="2"/>
        <v>204.67293747226003</v>
      </c>
      <c r="AG79" s="146">
        <f t="shared" si="3"/>
        <v>1464.6212882017426</v>
      </c>
    </row>
    <row r="80" spans="1:34" x14ac:dyDescent="0.3">
      <c r="A80" s="37">
        <v>5</v>
      </c>
      <c r="B80" s="38">
        <v>2028</v>
      </c>
      <c r="C80" s="31" t="s">
        <v>187</v>
      </c>
      <c r="D80" s="28" t="s">
        <v>4</v>
      </c>
      <c r="E80" s="11">
        <v>45.158935494305425</v>
      </c>
      <c r="F80" s="12">
        <v>148.72498840104933</v>
      </c>
      <c r="G80" s="12">
        <v>15.660731208556459</v>
      </c>
      <c r="H80" s="13">
        <v>1779.0629630412025</v>
      </c>
      <c r="I80" s="10" t="s">
        <v>187</v>
      </c>
      <c r="J80" s="28" t="s">
        <v>4</v>
      </c>
      <c r="K80" s="11">
        <v>23.676616538492439</v>
      </c>
      <c r="L80" s="12">
        <v>95.957769174615379</v>
      </c>
      <c r="M80" s="12">
        <v>13.476466889981886</v>
      </c>
      <c r="N80" s="12">
        <v>39.612832682868202</v>
      </c>
      <c r="O80" s="13">
        <v>1718.179445125435</v>
      </c>
      <c r="P80" s="10" t="s">
        <v>187</v>
      </c>
      <c r="Q80" s="28" t="s">
        <v>4</v>
      </c>
      <c r="R80" s="17">
        <v>1E-3</v>
      </c>
      <c r="S80" s="18">
        <v>1E-3</v>
      </c>
      <c r="T80" s="18">
        <v>1E-3</v>
      </c>
      <c r="U80" s="18">
        <v>-91.780354064156697</v>
      </c>
      <c r="V80" s="11">
        <v>21.483318955813012</v>
      </c>
      <c r="W80" s="12">
        <v>52.768219226433906</v>
      </c>
      <c r="X80" s="12">
        <v>2.1852643185745761</v>
      </c>
      <c r="Y80" s="13">
        <v>113.0530392970565</v>
      </c>
      <c r="Z80" s="10" t="s">
        <v>187</v>
      </c>
      <c r="AA80" s="28" t="s">
        <v>4</v>
      </c>
      <c r="AB80" s="17">
        <v>263484.51297827321</v>
      </c>
      <c r="AC80" s="18">
        <v>108595.06465842813</v>
      </c>
      <c r="AD80" s="18">
        <v>91535.687246658272</v>
      </c>
      <c r="AE80" s="19">
        <v>9931.3691079611053</v>
      </c>
      <c r="AF80" s="145">
        <f t="shared" si="2"/>
        <v>133.11085260308971</v>
      </c>
      <c r="AG80" s="146">
        <f t="shared" si="3"/>
        <v>1757.7922778083032</v>
      </c>
    </row>
    <row r="81" spans="1:34" x14ac:dyDescent="0.3">
      <c r="A81" s="37">
        <v>6</v>
      </c>
      <c r="B81" s="38">
        <v>2028</v>
      </c>
      <c r="C81" s="31" t="s">
        <v>187</v>
      </c>
      <c r="D81" s="28" t="s">
        <v>5</v>
      </c>
      <c r="E81" s="11">
        <v>5.6509222646898625</v>
      </c>
      <c r="F81" s="12">
        <v>456.23190388936075</v>
      </c>
      <c r="G81" s="12">
        <v>60.630085303640037</v>
      </c>
      <c r="H81" s="13">
        <v>648.54315898961033</v>
      </c>
      <c r="I81" s="10" t="s">
        <v>187</v>
      </c>
      <c r="J81" s="28" t="s">
        <v>5</v>
      </c>
      <c r="K81" s="11">
        <v>24.24971277262042</v>
      </c>
      <c r="L81" s="12">
        <v>318.65027192307554</v>
      </c>
      <c r="M81" s="12">
        <v>48.639658471565603</v>
      </c>
      <c r="N81" s="12">
        <v>69.648325719101607</v>
      </c>
      <c r="O81" s="13">
        <v>4697.4762601933107</v>
      </c>
      <c r="P81" s="10" t="s">
        <v>187</v>
      </c>
      <c r="Q81" s="28" t="s">
        <v>5</v>
      </c>
      <c r="R81" s="17">
        <v>1E-3</v>
      </c>
      <c r="S81" s="18">
        <v>1E-3</v>
      </c>
      <c r="T81" s="18">
        <v>1E-3</v>
      </c>
      <c r="U81" s="18">
        <v>-4118.580426922802</v>
      </c>
      <c r="V81" s="11">
        <v>-18.597790507930529</v>
      </c>
      <c r="W81" s="12">
        <v>137.58263196628519</v>
      </c>
      <c r="X81" s="12">
        <v>11.991426832074517</v>
      </c>
      <c r="Y81" s="13">
        <v>1E-3</v>
      </c>
      <c r="Z81" s="10" t="s">
        <v>187</v>
      </c>
      <c r="AA81" s="28" t="s">
        <v>5</v>
      </c>
      <c r="AB81" s="17">
        <v>265348.51670760696</v>
      </c>
      <c r="AC81" s="18">
        <v>112696.3604279319</v>
      </c>
      <c r="AD81" s="18">
        <v>90449.269196321096</v>
      </c>
      <c r="AE81" s="19">
        <v>9577.7586794459767</v>
      </c>
      <c r="AF81" s="145">
        <f t="shared" si="2"/>
        <v>391.53964316726154</v>
      </c>
      <c r="AG81" s="146">
        <f t="shared" si="3"/>
        <v>4767.1245859124119</v>
      </c>
    </row>
    <row r="82" spans="1:34" ht="16.2" thickBot="1" x14ac:dyDescent="0.35">
      <c r="A82" s="39">
        <v>7</v>
      </c>
      <c r="B82" s="54">
        <v>2028</v>
      </c>
      <c r="C82" s="32" t="s">
        <v>187</v>
      </c>
      <c r="D82" s="29" t="s">
        <v>6</v>
      </c>
      <c r="E82" s="21">
        <v>150.34367344333202</v>
      </c>
      <c r="F82" s="22">
        <v>180.09477921893597</v>
      </c>
      <c r="G82" s="22">
        <v>20.948523460544649</v>
      </c>
      <c r="H82" s="23">
        <v>279.13020114673509</v>
      </c>
      <c r="I82" s="20" t="s">
        <v>187</v>
      </c>
      <c r="J82" s="29" t="s">
        <v>6</v>
      </c>
      <c r="K82" s="21">
        <v>160.92653685944441</v>
      </c>
      <c r="L82" s="22">
        <v>190.40065516525129</v>
      </c>
      <c r="M82" s="22">
        <v>22.400153254326195</v>
      </c>
      <c r="N82" s="22">
        <v>38.673110608917952</v>
      </c>
      <c r="O82" s="23">
        <v>2624.3234326106776</v>
      </c>
      <c r="P82" s="20" t="s">
        <v>187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-2383.8653420728606</v>
      </c>
      <c r="V82" s="21">
        <v>-10.581863416112425</v>
      </c>
      <c r="W82" s="22">
        <v>-10.304875946315299</v>
      </c>
      <c r="X82" s="22">
        <v>-1.450629793781544</v>
      </c>
      <c r="Y82" s="23">
        <v>1E-3</v>
      </c>
      <c r="Z82" s="20" t="s">
        <v>187</v>
      </c>
      <c r="AA82" s="29" t="s">
        <v>6</v>
      </c>
      <c r="AB82" s="24">
        <v>264245.43607749307</v>
      </c>
      <c r="AC82" s="25">
        <v>111355.02429701836</v>
      </c>
      <c r="AD82" s="25">
        <v>90856.166575578041</v>
      </c>
      <c r="AE82" s="26">
        <v>9571.6336393954298</v>
      </c>
      <c r="AF82" s="147">
        <f t="shared" si="2"/>
        <v>373.7273452790219</v>
      </c>
      <c r="AG82" s="148">
        <f t="shared" si="3"/>
        <v>2662.9965432195954</v>
      </c>
    </row>
    <row r="83" spans="1:34" x14ac:dyDescent="0.3">
      <c r="A83" s="35">
        <v>1</v>
      </c>
      <c r="B83" s="36">
        <v>2029</v>
      </c>
      <c r="C83" s="33" t="s">
        <v>188</v>
      </c>
      <c r="D83" s="27" t="s">
        <v>0</v>
      </c>
      <c r="E83" s="7">
        <v>226.4954145645961</v>
      </c>
      <c r="F83" s="8">
        <v>162.79517286078692</v>
      </c>
      <c r="G83" s="8">
        <v>21.819566164576646</v>
      </c>
      <c r="H83" s="9">
        <v>2605.188264448514</v>
      </c>
      <c r="I83" s="6" t="s">
        <v>188</v>
      </c>
      <c r="J83" s="27" t="s">
        <v>0</v>
      </c>
      <c r="K83" s="7">
        <v>156.58087752335172</v>
      </c>
      <c r="L83" s="8">
        <v>139.2733223676357</v>
      </c>
      <c r="M83" s="8">
        <v>20.670387468741545</v>
      </c>
      <c r="N83" s="8">
        <v>91.315311342814113</v>
      </c>
      <c r="O83" s="9">
        <v>3020.1675467010818</v>
      </c>
      <c r="P83" s="6" t="s">
        <v>188</v>
      </c>
      <c r="Q83" s="27" t="s">
        <v>0</v>
      </c>
      <c r="R83" s="14">
        <v>1E-3</v>
      </c>
      <c r="S83" s="15">
        <v>1E-3</v>
      </c>
      <c r="T83" s="15">
        <v>1E-3</v>
      </c>
      <c r="U83" s="15">
        <v>-513.21443255244139</v>
      </c>
      <c r="V83" s="7">
        <v>69.915537041244406</v>
      </c>
      <c r="W83" s="8">
        <v>23.522850493151186</v>
      </c>
      <c r="X83" s="8">
        <v>1.1501786958351017</v>
      </c>
      <c r="Y83" s="9">
        <v>6.9218389570598937</v>
      </c>
      <c r="Z83" s="6" t="s">
        <v>188</v>
      </c>
      <c r="AA83" s="27" t="s">
        <v>0</v>
      </c>
      <c r="AB83" s="14">
        <v>308635.91216823703</v>
      </c>
      <c r="AC83" s="15">
        <v>111054.87141041819</v>
      </c>
      <c r="AD83" s="15">
        <v>89447.726066200979</v>
      </c>
      <c r="AE83" s="16">
        <v>10116.233563662747</v>
      </c>
      <c r="AF83" s="143">
        <f>SUM(K83:M83)</f>
        <v>316.52458735972891</v>
      </c>
      <c r="AG83" s="144">
        <f t="shared" si="3"/>
        <v>3111.4828580438962</v>
      </c>
      <c r="AH83" s="374"/>
    </row>
    <row r="84" spans="1:34" x14ac:dyDescent="0.3">
      <c r="A84" s="37">
        <v>2</v>
      </c>
      <c r="B84" s="38">
        <v>2029</v>
      </c>
      <c r="C84" s="31" t="s">
        <v>188</v>
      </c>
      <c r="D84" s="28" t="s">
        <v>1</v>
      </c>
      <c r="E84" s="11">
        <v>12.133712813952211</v>
      </c>
      <c r="F84" s="12">
        <v>627.33079704509066</v>
      </c>
      <c r="G84" s="12">
        <v>86.074054470584002</v>
      </c>
      <c r="H84" s="13">
        <v>567.22049584404942</v>
      </c>
      <c r="I84" s="10" t="s">
        <v>188</v>
      </c>
      <c r="J84" s="28" t="s">
        <v>1</v>
      </c>
      <c r="K84" s="11">
        <v>71.222781848977135</v>
      </c>
      <c r="L84" s="12">
        <v>800.10571280723138</v>
      </c>
      <c r="M84" s="12">
        <v>89.506582191054903</v>
      </c>
      <c r="N84" s="12">
        <v>43.376148992447284</v>
      </c>
      <c r="O84" s="13">
        <v>6541.9879765001315</v>
      </c>
      <c r="P84" s="10" t="s">
        <v>188</v>
      </c>
      <c r="Q84" s="28" t="s">
        <v>1</v>
      </c>
      <c r="R84" s="17">
        <v>1E-3</v>
      </c>
      <c r="S84" s="18">
        <v>1E-3</v>
      </c>
      <c r="T84" s="18">
        <v>1E-3</v>
      </c>
      <c r="U84" s="18">
        <v>-6011.2217906914684</v>
      </c>
      <c r="V84" s="11">
        <v>-59.088069035024965</v>
      </c>
      <c r="W84" s="12">
        <v>-172.77391576214069</v>
      </c>
      <c r="X84" s="12">
        <v>-3.4315277204709242</v>
      </c>
      <c r="Y84" s="13">
        <v>-6.919838957059893</v>
      </c>
      <c r="Z84" s="10" t="s">
        <v>188</v>
      </c>
      <c r="AA84" s="28" t="s">
        <v>1</v>
      </c>
      <c r="AB84" s="17">
        <v>310887.9296952358</v>
      </c>
      <c r="AC84" s="18">
        <v>110893.65435250284</v>
      </c>
      <c r="AD84" s="18">
        <v>90724.016066200973</v>
      </c>
      <c r="AE84" s="19">
        <v>10012.412564569855</v>
      </c>
      <c r="AF84" s="145">
        <f t="shared" si="2"/>
        <v>960.83507684726339</v>
      </c>
      <c r="AG84" s="146">
        <f t="shared" si="3"/>
        <v>6585.3641254925788</v>
      </c>
    </row>
    <row r="85" spans="1:34" x14ac:dyDescent="0.3">
      <c r="A85" s="37">
        <v>3</v>
      </c>
      <c r="B85" s="38">
        <v>2029</v>
      </c>
      <c r="C85" s="31" t="s">
        <v>188</v>
      </c>
      <c r="D85" s="28" t="s">
        <v>2</v>
      </c>
      <c r="E85" s="11">
        <v>83.911636041335257</v>
      </c>
      <c r="F85" s="12">
        <v>173.85809108941177</v>
      </c>
      <c r="G85" s="12">
        <v>16.375416946716694</v>
      </c>
      <c r="H85" s="13">
        <v>725.30355755851735</v>
      </c>
      <c r="I85" s="10" t="s">
        <v>188</v>
      </c>
      <c r="J85" s="28" t="s">
        <v>2</v>
      </c>
      <c r="K85" s="11">
        <v>85.617519027286789</v>
      </c>
      <c r="L85" s="12">
        <v>208.40517793655167</v>
      </c>
      <c r="M85" s="12">
        <v>21.455101604965023</v>
      </c>
      <c r="N85" s="12">
        <v>69.629742213341459</v>
      </c>
      <c r="O85" s="13">
        <v>2151.3084391034577</v>
      </c>
      <c r="P85" s="10" t="s">
        <v>188</v>
      </c>
      <c r="Q85" s="28" t="s">
        <v>2</v>
      </c>
      <c r="R85" s="17">
        <v>1E-3</v>
      </c>
      <c r="S85" s="18">
        <v>1E-3</v>
      </c>
      <c r="T85" s="18">
        <v>1E-3</v>
      </c>
      <c r="U85" s="18">
        <v>-1495.6336237582821</v>
      </c>
      <c r="V85" s="11">
        <v>-1.704882985951562</v>
      </c>
      <c r="W85" s="12">
        <v>-34.546086847139847</v>
      </c>
      <c r="X85" s="12">
        <v>-5.0786846582483305</v>
      </c>
      <c r="Y85" s="13">
        <v>1E-3</v>
      </c>
      <c r="Z85" s="10" t="s">
        <v>188</v>
      </c>
      <c r="AA85" s="28" t="s">
        <v>2</v>
      </c>
      <c r="AB85" s="17">
        <v>311764.15149950673</v>
      </c>
      <c r="AC85" s="18">
        <v>110986.50673754109</v>
      </c>
      <c r="AD85" s="18">
        <v>92066.996066200954</v>
      </c>
      <c r="AE85" s="19">
        <v>10406.956385430745</v>
      </c>
      <c r="AF85" s="145">
        <f t="shared" si="2"/>
        <v>315.47779856880351</v>
      </c>
      <c r="AG85" s="146">
        <f t="shared" si="3"/>
        <v>2220.9381813167993</v>
      </c>
    </row>
    <row r="86" spans="1:34" x14ac:dyDescent="0.3">
      <c r="A86" s="37">
        <v>4</v>
      </c>
      <c r="B86" s="38">
        <v>2029</v>
      </c>
      <c r="C86" s="31" t="s">
        <v>188</v>
      </c>
      <c r="D86" s="28" t="s">
        <v>3</v>
      </c>
      <c r="E86" s="11">
        <v>53.882951339564727</v>
      </c>
      <c r="F86" s="12">
        <v>123.31626526782821</v>
      </c>
      <c r="G86" s="12">
        <v>13.209448492521243</v>
      </c>
      <c r="H86" s="13">
        <v>557.10595613145836</v>
      </c>
      <c r="I86" s="10" t="s">
        <v>188</v>
      </c>
      <c r="J86" s="28" t="s">
        <v>3</v>
      </c>
      <c r="K86" s="11">
        <v>57.486526045916548</v>
      </c>
      <c r="L86" s="12">
        <v>140.64078663890697</v>
      </c>
      <c r="M86" s="12">
        <v>16.94864351545985</v>
      </c>
      <c r="N86" s="12">
        <v>25.1388159905291</v>
      </c>
      <c r="O86" s="13">
        <v>1540.2195517872547</v>
      </c>
      <c r="P86" s="10" t="s">
        <v>188</v>
      </c>
      <c r="Q86" s="28" t="s">
        <v>3</v>
      </c>
      <c r="R86" s="17">
        <v>1E-3</v>
      </c>
      <c r="S86" s="18">
        <v>1E-3</v>
      </c>
      <c r="T86" s="18">
        <v>1E-3</v>
      </c>
      <c r="U86" s="18">
        <v>-863.95194220917858</v>
      </c>
      <c r="V86" s="11">
        <v>-3.6025747063518203</v>
      </c>
      <c r="W86" s="12">
        <v>-17.323521371078765</v>
      </c>
      <c r="X86" s="12">
        <v>-3.7381950229386067</v>
      </c>
      <c r="Y86" s="13">
        <v>-144.29846943714711</v>
      </c>
      <c r="Z86" s="10" t="s">
        <v>188</v>
      </c>
      <c r="AA86" s="28" t="s">
        <v>3</v>
      </c>
      <c r="AB86" s="17">
        <v>311427.71818011568</v>
      </c>
      <c r="AC86" s="18">
        <v>110586.24868750633</v>
      </c>
      <c r="AD86" s="18">
        <v>91258.927783838546</v>
      </c>
      <c r="AE86" s="19">
        <v>10748.066091862818</v>
      </c>
      <c r="AF86" s="145">
        <f t="shared" si="2"/>
        <v>215.07595620028337</v>
      </c>
      <c r="AG86" s="146">
        <f t="shared" si="3"/>
        <v>1565.3583677777838</v>
      </c>
    </row>
    <row r="87" spans="1:34" x14ac:dyDescent="0.3">
      <c r="A87" s="37">
        <v>5</v>
      </c>
      <c r="B87" s="38">
        <v>2029</v>
      </c>
      <c r="C87" s="31" t="s">
        <v>188</v>
      </c>
      <c r="D87" s="28" t="s">
        <v>4</v>
      </c>
      <c r="E87" s="11">
        <v>42.321309520169962</v>
      </c>
      <c r="F87" s="12">
        <v>163.08708577231357</v>
      </c>
      <c r="G87" s="12">
        <v>17.982746019937906</v>
      </c>
      <c r="H87" s="13">
        <v>1920.1870649239413</v>
      </c>
      <c r="I87" s="10" t="s">
        <v>188</v>
      </c>
      <c r="J87" s="28" t="s">
        <v>4</v>
      </c>
      <c r="K87" s="11">
        <v>21.860358429850784</v>
      </c>
      <c r="L87" s="12">
        <v>104.86557701011925</v>
      </c>
      <c r="M87" s="12">
        <v>15.256822312169627</v>
      </c>
      <c r="N87" s="12">
        <v>42.618457594451819</v>
      </c>
      <c r="O87" s="13">
        <v>1856.9979756117909</v>
      </c>
      <c r="P87" s="10" t="s">
        <v>188</v>
      </c>
      <c r="Q87" s="28" t="s">
        <v>4</v>
      </c>
      <c r="R87" s="17">
        <v>1E-3</v>
      </c>
      <c r="S87" s="18">
        <v>1E-3</v>
      </c>
      <c r="T87" s="18">
        <v>1E-3</v>
      </c>
      <c r="U87" s="18">
        <v>-123.7278377194487</v>
      </c>
      <c r="V87" s="11">
        <v>20.461951090319122</v>
      </c>
      <c r="W87" s="12">
        <v>58.222508762194352</v>
      </c>
      <c r="X87" s="12">
        <v>2.7269237077682784</v>
      </c>
      <c r="Y87" s="13">
        <v>144.30046943714711</v>
      </c>
      <c r="Z87" s="10" t="s">
        <v>188</v>
      </c>
      <c r="AA87" s="28" t="s">
        <v>4</v>
      </c>
      <c r="AB87" s="17">
        <v>310796.82423788571</v>
      </c>
      <c r="AC87" s="18">
        <v>107193.47781005508</v>
      </c>
      <c r="AD87" s="18">
        <v>89713.212316904261</v>
      </c>
      <c r="AE87" s="19">
        <v>10240.424881862109</v>
      </c>
      <c r="AF87" s="145">
        <f t="shared" si="2"/>
        <v>141.98275775213966</v>
      </c>
      <c r="AG87" s="146">
        <f t="shared" si="3"/>
        <v>1899.6164332062428</v>
      </c>
    </row>
    <row r="88" spans="1:34" x14ac:dyDescent="0.3">
      <c r="A88" s="37">
        <v>6</v>
      </c>
      <c r="B88" s="38">
        <v>2029</v>
      </c>
      <c r="C88" s="31" t="s">
        <v>188</v>
      </c>
      <c r="D88" s="28" t="s">
        <v>5</v>
      </c>
      <c r="E88" s="11">
        <v>5.2871372302489181</v>
      </c>
      <c r="F88" s="12">
        <v>499.67579085565717</v>
      </c>
      <c r="G88" s="12">
        <v>69.627229633914382</v>
      </c>
      <c r="H88" s="13">
        <v>700.98308485610767</v>
      </c>
      <c r="I88" s="10" t="s">
        <v>188</v>
      </c>
      <c r="J88" s="28" t="s">
        <v>5</v>
      </c>
      <c r="K88" s="11">
        <v>21.874296895833233</v>
      </c>
      <c r="L88" s="12">
        <v>344.44978438351376</v>
      </c>
      <c r="M88" s="12">
        <v>53.865891937380873</v>
      </c>
      <c r="N88" s="12">
        <v>77.476886003629176</v>
      </c>
      <c r="O88" s="13">
        <v>5234.2274649745141</v>
      </c>
      <c r="P88" s="10" t="s">
        <v>188</v>
      </c>
      <c r="Q88" s="28" t="s">
        <v>5</v>
      </c>
      <c r="R88" s="17">
        <v>1E-3</v>
      </c>
      <c r="S88" s="18">
        <v>1E-3</v>
      </c>
      <c r="T88" s="18">
        <v>6.5696310357917627</v>
      </c>
      <c r="U88" s="18">
        <v>-4610.7202661220354</v>
      </c>
      <c r="V88" s="11">
        <v>-16.586159665584319</v>
      </c>
      <c r="W88" s="12">
        <v>155.22700647214344</v>
      </c>
      <c r="X88" s="12">
        <v>9.1937066607417535</v>
      </c>
      <c r="Y88" s="13">
        <v>1E-3</v>
      </c>
      <c r="Z88" s="10" t="s">
        <v>188</v>
      </c>
      <c r="AA88" s="28" t="s">
        <v>5</v>
      </c>
      <c r="AB88" s="17">
        <v>312809.90873076639</v>
      </c>
      <c r="AC88" s="18">
        <v>111152.6698976754</v>
      </c>
      <c r="AD88" s="18">
        <v>88657.255283200982</v>
      </c>
      <c r="AE88" s="19">
        <v>9886.8529849294937</v>
      </c>
      <c r="AF88" s="145">
        <f t="shared" si="2"/>
        <v>420.18997321672788</v>
      </c>
      <c r="AG88" s="146">
        <f t="shared" si="3"/>
        <v>5311.7043509781433</v>
      </c>
    </row>
    <row r="89" spans="1:34" ht="16.2" thickBot="1" x14ac:dyDescent="0.35">
      <c r="A89" s="39">
        <v>7</v>
      </c>
      <c r="B89" s="54">
        <v>2029</v>
      </c>
      <c r="C89" s="32" t="s">
        <v>188</v>
      </c>
      <c r="D89" s="29" t="s">
        <v>6</v>
      </c>
      <c r="E89" s="21">
        <v>140.76845191379323</v>
      </c>
      <c r="F89" s="22">
        <v>197.25850327596959</v>
      </c>
      <c r="G89" s="22">
        <v>24.058603145693716</v>
      </c>
      <c r="H89" s="23">
        <v>301.7629376688559</v>
      </c>
      <c r="I89" s="20" t="s">
        <v>188</v>
      </c>
      <c r="J89" s="29" t="s">
        <v>6</v>
      </c>
      <c r="K89" s="21">
        <v>150.15825365244402</v>
      </c>
      <c r="L89" s="22">
        <v>209.58134502309935</v>
      </c>
      <c r="M89" s="22">
        <v>24.875004808380993</v>
      </c>
      <c r="N89" s="22">
        <v>40.038739785971096</v>
      </c>
      <c r="O89" s="23">
        <v>2764.6099622690713</v>
      </c>
      <c r="P89" s="20" t="s">
        <v>188</v>
      </c>
      <c r="Q89" s="29" t="s">
        <v>6</v>
      </c>
      <c r="R89" s="24">
        <v>1E-3</v>
      </c>
      <c r="S89" s="25">
        <v>1E-3</v>
      </c>
      <c r="T89" s="25">
        <v>1E-3</v>
      </c>
      <c r="U89" s="25">
        <v>-2502.8847643861864</v>
      </c>
      <c r="V89" s="21">
        <v>-9.3888017386508587</v>
      </c>
      <c r="W89" s="22">
        <v>-12.321841747129655</v>
      </c>
      <c r="X89" s="22">
        <v>-0.81540166268727099</v>
      </c>
      <c r="Y89" s="23">
        <v>1E-3</v>
      </c>
      <c r="Z89" s="20" t="s">
        <v>188</v>
      </c>
      <c r="AA89" s="29" t="s">
        <v>6</v>
      </c>
      <c r="AB89" s="24">
        <v>311655.22955750878</v>
      </c>
      <c r="AC89" s="25">
        <v>109778.92662308866</v>
      </c>
      <c r="AD89" s="25">
        <v>89078.599130200964</v>
      </c>
      <c r="AE89" s="26">
        <v>9880.868243031553</v>
      </c>
      <c r="AF89" s="147">
        <f t="shared" si="2"/>
        <v>384.61460348392433</v>
      </c>
      <c r="AG89" s="148">
        <f t="shared" si="3"/>
        <v>2804.6487020550426</v>
      </c>
    </row>
    <row r="90" spans="1:34" x14ac:dyDescent="0.3">
      <c r="A90" s="35">
        <v>1</v>
      </c>
      <c r="B90" s="36">
        <v>2030</v>
      </c>
      <c r="C90" s="33" t="s">
        <v>207</v>
      </c>
      <c r="D90" s="27" t="s">
        <v>0</v>
      </c>
      <c r="E90" s="7">
        <v>210.59395180618597</v>
      </c>
      <c r="F90" s="8">
        <v>179.31758802700617</v>
      </c>
      <c r="G90" s="8">
        <v>25.701818461149372</v>
      </c>
      <c r="H90" s="9">
        <v>2823.7704666124127</v>
      </c>
      <c r="I90" s="6" t="s">
        <v>207</v>
      </c>
      <c r="J90" s="27" t="s">
        <v>0</v>
      </c>
      <c r="K90" s="7">
        <v>146.30874719285811</v>
      </c>
      <c r="L90" s="8">
        <v>152.91836696385613</v>
      </c>
      <c r="M90" s="8">
        <v>22.827633194389964</v>
      </c>
      <c r="N90" s="8">
        <v>104.57931845754607</v>
      </c>
      <c r="O90" s="9">
        <v>3135.7479768943012</v>
      </c>
      <c r="P90" s="6" t="s">
        <v>207</v>
      </c>
      <c r="Q90" s="27" t="s">
        <v>0</v>
      </c>
      <c r="R90" s="14">
        <v>1E-3</v>
      </c>
      <c r="S90" s="15">
        <v>1E-3</v>
      </c>
      <c r="T90" s="15">
        <v>1E-3</v>
      </c>
      <c r="U90" s="15">
        <v>-608.95038288134697</v>
      </c>
      <c r="V90" s="7">
        <v>64.286204613327882</v>
      </c>
      <c r="W90" s="8">
        <v>26.400221063150045</v>
      </c>
      <c r="X90" s="8">
        <v>2.8751852667594266</v>
      </c>
      <c r="Y90" s="9">
        <v>192.39555414191315</v>
      </c>
      <c r="Z90" s="6" t="s">
        <v>207</v>
      </c>
      <c r="AA90" s="27" t="s">
        <v>0</v>
      </c>
      <c r="AB90" s="14">
        <v>369214.36741773196</v>
      </c>
      <c r="AC90" s="15">
        <v>109063.84869093697</v>
      </c>
      <c r="AD90" s="15">
        <v>88930.462922570383</v>
      </c>
      <c r="AE90" s="16">
        <v>10477.953021340396</v>
      </c>
      <c r="AF90" s="143">
        <f>SUM(K90:M90)</f>
        <v>322.05474735110425</v>
      </c>
      <c r="AG90" s="144">
        <f t="shared" ref="AG90:AG96" si="4">SUM(N90:O90)</f>
        <v>3240.3272953518472</v>
      </c>
      <c r="AH90" s="374"/>
    </row>
    <row r="91" spans="1:34" x14ac:dyDescent="0.3">
      <c r="A91" s="37">
        <v>2</v>
      </c>
      <c r="B91" s="38">
        <v>2030</v>
      </c>
      <c r="C91" s="31" t="s">
        <v>207</v>
      </c>
      <c r="D91" s="28" t="s">
        <v>1</v>
      </c>
      <c r="E91" s="11">
        <v>11.277825134813297</v>
      </c>
      <c r="F91" s="12">
        <v>691.51502456288063</v>
      </c>
      <c r="G91" s="12">
        <v>101.39204704194451</v>
      </c>
      <c r="H91" s="13">
        <v>614.54892864008286</v>
      </c>
      <c r="I91" s="10" t="s">
        <v>207</v>
      </c>
      <c r="J91" s="28" t="s">
        <v>1</v>
      </c>
      <c r="K91" s="11">
        <v>66.491506218379854</v>
      </c>
      <c r="L91" s="12">
        <v>880.11842157584965</v>
      </c>
      <c r="M91" s="12">
        <v>99.258047006472722</v>
      </c>
      <c r="N91" s="12">
        <v>43.191011233550405</v>
      </c>
      <c r="O91" s="13">
        <v>7380.3570193213345</v>
      </c>
      <c r="P91" s="10" t="s">
        <v>207</v>
      </c>
      <c r="Q91" s="28" t="s">
        <v>1</v>
      </c>
      <c r="R91" s="17">
        <v>1E-3</v>
      </c>
      <c r="S91" s="18">
        <v>1E-3</v>
      </c>
      <c r="T91" s="18">
        <v>1E-3</v>
      </c>
      <c r="U91" s="18">
        <v>-6616.6035477728892</v>
      </c>
      <c r="V91" s="11">
        <v>-55.212681083566395</v>
      </c>
      <c r="W91" s="12">
        <v>-188.60239701296885</v>
      </c>
      <c r="X91" s="12">
        <v>2.135000035471768</v>
      </c>
      <c r="Y91" s="13">
        <v>-192.39355414191314</v>
      </c>
      <c r="Z91" s="10" t="s">
        <v>207</v>
      </c>
      <c r="AA91" s="28" t="s">
        <v>1</v>
      </c>
      <c r="AB91" s="17">
        <v>371911.59509584086</v>
      </c>
      <c r="AC91" s="18">
        <v>109008.95861647082</v>
      </c>
      <c r="AD91" s="18">
        <v>90206.565318194669</v>
      </c>
      <c r="AE91" s="19">
        <v>10333.088720009953</v>
      </c>
      <c r="AF91" s="145">
        <f t="shared" ref="AF91:AF96" si="5">SUM(K91:M91)</f>
        <v>1045.8679748007023</v>
      </c>
      <c r="AG91" s="146">
        <f t="shared" si="4"/>
        <v>7423.5480305548854</v>
      </c>
    </row>
    <row r="92" spans="1:34" x14ac:dyDescent="0.3">
      <c r="A92" s="37">
        <v>3</v>
      </c>
      <c r="B92" s="38">
        <v>2030</v>
      </c>
      <c r="C92" s="31" t="s">
        <v>207</v>
      </c>
      <c r="D92" s="28" t="s">
        <v>2</v>
      </c>
      <c r="E92" s="11">
        <v>77.962971799281377</v>
      </c>
      <c r="F92" s="12">
        <v>191.72305554465456</v>
      </c>
      <c r="G92" s="12">
        <v>19.292540385157604</v>
      </c>
      <c r="H92" s="13">
        <v>785.33262983367842</v>
      </c>
      <c r="I92" s="10" t="s">
        <v>207</v>
      </c>
      <c r="J92" s="28" t="s">
        <v>2</v>
      </c>
      <c r="K92" s="11">
        <v>80.14623102087225</v>
      </c>
      <c r="L92" s="12">
        <v>235.18699219235054</v>
      </c>
      <c r="M92" s="12">
        <v>24.300725687388798</v>
      </c>
      <c r="N92" s="12">
        <v>75.080094310190233</v>
      </c>
      <c r="O92" s="13">
        <v>2316.6036124244883</v>
      </c>
      <c r="P92" s="10" t="s">
        <v>207</v>
      </c>
      <c r="Q92" s="28" t="s">
        <v>2</v>
      </c>
      <c r="R92" s="17">
        <v>1E-3</v>
      </c>
      <c r="S92" s="18">
        <v>1E-3</v>
      </c>
      <c r="T92" s="18">
        <v>1E-3</v>
      </c>
      <c r="U92" s="18">
        <v>-1606.3500769010004</v>
      </c>
      <c r="V92" s="11">
        <v>-2.1822592215908831</v>
      </c>
      <c r="W92" s="12">
        <v>-43.462936647696289</v>
      </c>
      <c r="X92" s="12">
        <v>-5.0071853022311945</v>
      </c>
      <c r="Y92" s="13">
        <v>1E-3</v>
      </c>
      <c r="Z92" s="10" t="s">
        <v>207</v>
      </c>
      <c r="AA92" s="28" t="s">
        <v>2</v>
      </c>
      <c r="AB92" s="17">
        <v>372598.51309497759</v>
      </c>
      <c r="AC92" s="18">
        <v>109128.90907721478</v>
      </c>
      <c r="AD92" s="18">
        <v>91551.158157807615</v>
      </c>
      <c r="AE92" s="19">
        <v>10727.548777377404</v>
      </c>
      <c r="AF92" s="145">
        <f t="shared" si="5"/>
        <v>339.63394890061164</v>
      </c>
      <c r="AG92" s="146">
        <f t="shared" si="4"/>
        <v>2391.6837067346787</v>
      </c>
    </row>
    <row r="93" spans="1:34" x14ac:dyDescent="0.3">
      <c r="A93" s="37">
        <v>4</v>
      </c>
      <c r="B93" s="38">
        <v>2030</v>
      </c>
      <c r="C93" s="31" t="s">
        <v>207</v>
      </c>
      <c r="D93" s="28" t="s">
        <v>3</v>
      </c>
      <c r="E93" s="11">
        <v>50.052954299512209</v>
      </c>
      <c r="F93" s="12">
        <v>135.88737350558452</v>
      </c>
      <c r="G93" s="12">
        <v>15.406661261864691</v>
      </c>
      <c r="H93" s="13">
        <v>604.67705538512951</v>
      </c>
      <c r="I93" s="10" t="s">
        <v>207</v>
      </c>
      <c r="J93" s="28" t="s">
        <v>3</v>
      </c>
      <c r="K93" s="11">
        <v>53.693555543778608</v>
      </c>
      <c r="L93" s="12">
        <v>154.73814505331472</v>
      </c>
      <c r="M93" s="12">
        <v>19.025806652112511</v>
      </c>
      <c r="N93" s="12">
        <v>26.291565408024198</v>
      </c>
      <c r="O93" s="13">
        <v>1667.6758831389491</v>
      </c>
      <c r="P93" s="10" t="s">
        <v>207</v>
      </c>
      <c r="Q93" s="28" t="s">
        <v>3</v>
      </c>
      <c r="R93" s="17">
        <v>1E-3</v>
      </c>
      <c r="S93" s="18">
        <v>1E-3</v>
      </c>
      <c r="T93" s="18">
        <v>1E-3</v>
      </c>
      <c r="U93" s="18">
        <v>-917.30769567028926</v>
      </c>
      <c r="V93" s="11">
        <v>-3.6396012442664074</v>
      </c>
      <c r="W93" s="12">
        <v>-18.849771547730167</v>
      </c>
      <c r="X93" s="12">
        <v>-3.6181453902478173</v>
      </c>
      <c r="Y93" s="13">
        <v>-171.98069749155468</v>
      </c>
      <c r="Z93" s="10" t="s">
        <v>207</v>
      </c>
      <c r="AA93" s="28" t="s">
        <v>3</v>
      </c>
      <c r="AB93" s="17">
        <v>371966.62791912915</v>
      </c>
      <c r="AC93" s="18">
        <v>108591.80041878918</v>
      </c>
      <c r="AD93" s="18">
        <v>89593.818708106104</v>
      </c>
      <c r="AE93" s="19">
        <v>11068.607259801425</v>
      </c>
      <c r="AF93" s="145">
        <f t="shared" si="5"/>
        <v>227.45750724920586</v>
      </c>
      <c r="AG93" s="146">
        <f t="shared" si="4"/>
        <v>1693.9674485469732</v>
      </c>
    </row>
    <row r="94" spans="1:34" x14ac:dyDescent="0.3">
      <c r="A94" s="37">
        <v>5</v>
      </c>
      <c r="B94" s="38">
        <v>2030</v>
      </c>
      <c r="C94" s="31" t="s">
        <v>207</v>
      </c>
      <c r="D94" s="28" t="s">
        <v>4</v>
      </c>
      <c r="E94" s="11">
        <v>39.330280382632608</v>
      </c>
      <c r="F94" s="12">
        <v>179.76611038279523</v>
      </c>
      <c r="G94" s="12">
        <v>20.966842743262099</v>
      </c>
      <c r="H94" s="13">
        <v>2086.2274573116647</v>
      </c>
      <c r="I94" s="10" t="s">
        <v>207</v>
      </c>
      <c r="J94" s="28" t="s">
        <v>4</v>
      </c>
      <c r="K94" s="11">
        <v>20.007029426106307</v>
      </c>
      <c r="L94" s="12">
        <v>115.35570811650639</v>
      </c>
      <c r="M94" s="12">
        <v>17.296091475943456</v>
      </c>
      <c r="N94" s="12">
        <v>46.940270922024446</v>
      </c>
      <c r="O94" s="13">
        <v>2034.2159786687434</v>
      </c>
      <c r="P94" s="10" t="s">
        <v>207</v>
      </c>
      <c r="Q94" s="28" t="s">
        <v>4</v>
      </c>
      <c r="R94" s="17">
        <v>1E-3</v>
      </c>
      <c r="S94" s="18">
        <v>1E-3</v>
      </c>
      <c r="T94" s="18">
        <v>5.2605877070828422E-2</v>
      </c>
      <c r="U94" s="18">
        <v>-166.9094897706579</v>
      </c>
      <c r="V94" s="11">
        <v>19.324250956526356</v>
      </c>
      <c r="W94" s="12">
        <v>64.411402266288903</v>
      </c>
      <c r="X94" s="12">
        <v>3.6201453902478171</v>
      </c>
      <c r="Y94" s="13">
        <v>171.98269749155469</v>
      </c>
      <c r="Z94" s="10" t="s">
        <v>207</v>
      </c>
      <c r="AA94" s="28" t="s">
        <v>4</v>
      </c>
      <c r="AB94" s="17">
        <v>371753.57948737714</v>
      </c>
      <c r="AC94" s="18">
        <v>105344.77241130671</v>
      </c>
      <c r="AD94" s="18">
        <v>88037.734004611862</v>
      </c>
      <c r="AE94" s="19">
        <v>10560.598013579283</v>
      </c>
      <c r="AF94" s="145">
        <f t="shared" si="5"/>
        <v>152.65882901855616</v>
      </c>
      <c r="AG94" s="146">
        <f t="shared" si="4"/>
        <v>2081.1562495907679</v>
      </c>
    </row>
    <row r="95" spans="1:34" x14ac:dyDescent="0.3">
      <c r="A95" s="37">
        <v>6</v>
      </c>
      <c r="B95" s="38">
        <v>2030</v>
      </c>
      <c r="C95" s="31" t="s">
        <v>207</v>
      </c>
      <c r="D95" s="28" t="s">
        <v>5</v>
      </c>
      <c r="E95" s="11">
        <v>4.9102430078962289</v>
      </c>
      <c r="F95" s="12">
        <v>550.01891526299414</v>
      </c>
      <c r="G95" s="12">
        <v>82.658678793822872</v>
      </c>
      <c r="H95" s="13">
        <v>762.60377687563437</v>
      </c>
      <c r="I95" s="10" t="s">
        <v>207</v>
      </c>
      <c r="J95" s="28" t="s">
        <v>5</v>
      </c>
      <c r="K95" s="11">
        <v>19.524354247038495</v>
      </c>
      <c r="L95" s="12">
        <v>374.87421125688985</v>
      </c>
      <c r="M95" s="12">
        <v>58.517098183852497</v>
      </c>
      <c r="N95" s="12">
        <v>88.34474547714224</v>
      </c>
      <c r="O95" s="13">
        <v>5920.8762719397582</v>
      </c>
      <c r="P95" s="10" t="s">
        <v>207</v>
      </c>
      <c r="Q95" s="28" t="s">
        <v>5</v>
      </c>
      <c r="R95" s="17">
        <v>1E-3</v>
      </c>
      <c r="S95" s="18">
        <v>1E-3</v>
      </c>
      <c r="T95" s="18">
        <v>23.811919577612652</v>
      </c>
      <c r="U95" s="18">
        <v>-5246.6162405412661</v>
      </c>
      <c r="V95" s="11">
        <v>-14.613111239142263</v>
      </c>
      <c r="W95" s="12">
        <v>175.14570400610418</v>
      </c>
      <c r="X95" s="12">
        <v>0.33166103235772576</v>
      </c>
      <c r="Y95" s="13">
        <v>1E-3</v>
      </c>
      <c r="Z95" s="10" t="s">
        <v>207</v>
      </c>
      <c r="AA95" s="28" t="s">
        <v>5</v>
      </c>
      <c r="AB95" s="17">
        <v>374014.62604672438</v>
      </c>
      <c r="AC95" s="18">
        <v>109143.46716846319</v>
      </c>
      <c r="AD95" s="18">
        <v>89031.55337596203</v>
      </c>
      <c r="AE95" s="19">
        <v>10207.30549186857</v>
      </c>
      <c r="AF95" s="145">
        <f t="shared" si="5"/>
        <v>452.91566368778086</v>
      </c>
      <c r="AG95" s="146">
        <f t="shared" si="4"/>
        <v>6009.2210174169004</v>
      </c>
    </row>
    <row r="96" spans="1:34" ht="16.2" thickBot="1" x14ac:dyDescent="0.35">
      <c r="A96" s="39">
        <v>7</v>
      </c>
      <c r="B96" s="54">
        <v>2030</v>
      </c>
      <c r="C96" s="32" t="s">
        <v>207</v>
      </c>
      <c r="D96" s="29" t="s">
        <v>6</v>
      </c>
      <c r="E96" s="21">
        <v>130.71998832423935</v>
      </c>
      <c r="F96" s="22">
        <v>217.20288982883406</v>
      </c>
      <c r="G96" s="22">
        <v>28.457004562726581</v>
      </c>
      <c r="H96" s="23">
        <v>328.23743183480804</v>
      </c>
      <c r="I96" s="20" t="s">
        <v>207</v>
      </c>
      <c r="J96" s="29" t="s">
        <v>6</v>
      </c>
      <c r="K96" s="21">
        <v>138.67679110552766</v>
      </c>
      <c r="L96" s="22">
        <v>232.23911195598185</v>
      </c>
      <c r="M96" s="22">
        <v>27.239841200040551</v>
      </c>
      <c r="N96" s="22">
        <v>41.557711462606235</v>
      </c>
      <c r="O96" s="23">
        <v>2953.760111278867</v>
      </c>
      <c r="P96" s="20" t="s">
        <v>207</v>
      </c>
      <c r="Q96" s="29" t="s">
        <v>6</v>
      </c>
      <c r="R96" s="24">
        <v>1E-3</v>
      </c>
      <c r="S96" s="25">
        <v>1E-3</v>
      </c>
      <c r="T96" s="25">
        <v>1.5488243950437499</v>
      </c>
      <c r="U96" s="25">
        <v>-2667.0793909066647</v>
      </c>
      <c r="V96" s="21">
        <v>-7.9558027812882859</v>
      </c>
      <c r="W96" s="22">
        <v>-15.035222127147795</v>
      </c>
      <c r="X96" s="22">
        <v>-0.32966103235772576</v>
      </c>
      <c r="Y96" s="23">
        <v>1E-3</v>
      </c>
      <c r="Z96" s="20" t="s">
        <v>207</v>
      </c>
      <c r="AA96" s="29" t="s">
        <v>6</v>
      </c>
      <c r="AB96" s="24">
        <v>372199.2070329347</v>
      </c>
      <c r="AC96" s="25">
        <v>107763.67008227426</v>
      </c>
      <c r="AD96" s="25">
        <v>89045.561303972965</v>
      </c>
      <c r="AE96" s="26">
        <v>10201.45355782074</v>
      </c>
      <c r="AF96" s="147">
        <f t="shared" si="5"/>
        <v>398.15574426155007</v>
      </c>
      <c r="AG96" s="148">
        <f t="shared" si="4"/>
        <v>2995.3178227414733</v>
      </c>
    </row>
    <row r="99" spans="1:28" s="58" customFormat="1" x14ac:dyDescent="0.3">
      <c r="A99" s="57" t="s">
        <v>65</v>
      </c>
      <c r="B99" s="57"/>
    </row>
    <row r="100" spans="1:28" s="58" customFormat="1" ht="16.2" thickBot="1" x14ac:dyDescent="0.35">
      <c r="A100" s="56" t="s">
        <v>276</v>
      </c>
    </row>
    <row r="101" spans="1:28" s="58" customFormat="1" ht="16.2" thickBot="1" x14ac:dyDescent="0.35">
      <c r="A101" s="170"/>
      <c r="B101" s="733" t="s">
        <v>33</v>
      </c>
      <c r="C101" s="734"/>
      <c r="D101" s="734"/>
      <c r="E101" s="734"/>
      <c r="F101" s="735"/>
      <c r="G101" s="736" t="s">
        <v>34</v>
      </c>
      <c r="H101" s="737"/>
      <c r="I101" s="737"/>
      <c r="J101" s="737"/>
      <c r="K101" s="737"/>
      <c r="L101" s="737"/>
      <c r="M101" s="738"/>
      <c r="N101" s="733" t="s">
        <v>36</v>
      </c>
      <c r="O101" s="734"/>
      <c r="P101" s="734"/>
      <c r="Q101" s="734"/>
      <c r="R101" s="735"/>
      <c r="S101" s="736" t="s">
        <v>38</v>
      </c>
      <c r="T101" s="737"/>
      <c r="U101" s="737"/>
      <c r="V101" s="737"/>
      <c r="W101" s="738"/>
      <c r="X101" s="736" t="s">
        <v>66</v>
      </c>
      <c r="Y101" s="737"/>
      <c r="Z101" s="737"/>
      <c r="AA101" s="737"/>
      <c r="AB101" s="738"/>
    </row>
    <row r="102" spans="1:28" s="58" customFormat="1" ht="16.2" thickBot="1" x14ac:dyDescent="0.35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6.2" thickBot="1" x14ac:dyDescent="0.35">
      <c r="A103" s="440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 x14ac:dyDescent="0.3">
      <c r="A104" s="159">
        <v>2018</v>
      </c>
      <c r="B104" s="126">
        <f t="shared" ref="B104:B116" si="6">SUMIFS(E$6:E$96,$B$6:$B$96,$A104)</f>
        <v>754.57999192206978</v>
      </c>
      <c r="C104" s="127">
        <f t="shared" ref="C104:C116" si="7">SUMIFS(F$6:F$96,$B$6:$B$96,$A104)</f>
        <v>1059.4367831280679</v>
      </c>
      <c r="D104" s="127">
        <f t="shared" ref="D104:D115" si="8">SUMIFS(G$6:G$96,$B$6:$B$96,$A104)</f>
        <v>97.74707413422972</v>
      </c>
      <c r="E104" s="128">
        <f>SUM(B104:D104)</f>
        <v>1911.7638491843675</v>
      </c>
      <c r="F104" s="127">
        <f t="shared" ref="F104:F116" si="9">SUMIFS(H$6:H$96,$B$6:$B$96,$A104)</f>
        <v>4246.4333566721834</v>
      </c>
      <c r="G104" s="126">
        <f t="shared" ref="G104:G115" si="10">SUMIFS(K$6:K$96,$B$6:$B$96,$A104)</f>
        <v>754.57999192206967</v>
      </c>
      <c r="H104" s="127">
        <f t="shared" ref="H104:H116" si="11">SUMIFS(L$6:L$96,$B$6:$B$96,$A104)</f>
        <v>1059.4367831280683</v>
      </c>
      <c r="I104" s="127">
        <f t="shared" ref="I104:I116" si="12">SUMIFS(M$6:M$96,$B$6:$B$96,$A104)</f>
        <v>95.751636940187382</v>
      </c>
      <c r="J104" s="128">
        <f>SUM(G104:I104)</f>
        <v>1909.7684119903254</v>
      </c>
      <c r="K104" s="127">
        <f t="shared" ref="K104:K116" si="13">SUMIFS(N$6:N$96,$B$6:$B$96,$A104)</f>
        <v>217.21155814113021</v>
      </c>
      <c r="L104" s="127">
        <f t="shared" ref="L104:L116" si="14">SUMIFS(O$6:O$96,$B$6:$B$96,$A104)</f>
        <v>12835.395477989521</v>
      </c>
      <c r="M104" s="162">
        <f>SUM(K104:L104)</f>
        <v>13052.607036130652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4" si="17">SUMIFS(T$6:T$96,$B$6:$B$96,$A104)</f>
        <v>2.0024371940423449</v>
      </c>
      <c r="Q104" s="138">
        <f>SUM(N104:P104)</f>
        <v>2.0164371940423447</v>
      </c>
      <c r="R104" s="127">
        <f t="shared" ref="R104:R116" si="18">SUMIFS(U$6:U$96,$B$6:$B$96,$A104)</f>
        <v>-8806.1666794584671</v>
      </c>
      <c r="S104" s="126">
        <f>SUMPRODUCT(AB6:AB12,K6:K12)/SUM(K6:K12)</f>
        <v>79291.006026788469</v>
      </c>
      <c r="T104" s="127">
        <f>SUMPRODUCT(AC6:AC12,L6:L12)/SUM(L6:L12)</f>
        <v>79472.188203116209</v>
      </c>
      <c r="U104" s="127">
        <f>SUMPRODUCT(AD6:AD12,M6:M12)/SUM(M6:M12)</f>
        <v>82941.792586116513</v>
      </c>
      <c r="V104" s="128">
        <f t="shared" ref="V104:V115" si="19">SUMPRODUCT(S104:U104,G104:I104)/J104</f>
        <v>79574.558654334207</v>
      </c>
      <c r="W104" s="129">
        <f>SUMPRODUCT(AE6:AE12,AG6:AG12)/SUM(AG6:AG12)</f>
        <v>7099.9176596539946</v>
      </c>
      <c r="X104" s="150">
        <f>B104-G104-N104</f>
        <v>-6.9999999998863133E-3</v>
      </c>
      <c r="Y104" s="151">
        <f t="shared" ref="Y104:AA116" si="20">C104-H104-O104</f>
        <v>-7.0000000004547475E-3</v>
      </c>
      <c r="Z104" s="151">
        <f t="shared" si="20"/>
        <v>-7.0000000000063345E-3</v>
      </c>
      <c r="AA104" s="151">
        <f>E104-J104-Q104</f>
        <v>-2.1000000000247709E-2</v>
      </c>
      <c r="AB104" s="152">
        <f>F104-M104-R104</f>
        <v>-7.0000000014260877E-3</v>
      </c>
    </row>
    <row r="105" spans="1:28" customFormat="1" x14ac:dyDescent="0.3">
      <c r="A105" s="160">
        <v>2019</v>
      </c>
      <c r="B105" s="130">
        <f t="shared" si="6"/>
        <v>561.42673280612155</v>
      </c>
      <c r="C105" s="131">
        <f t="shared" si="7"/>
        <v>977.66183659706996</v>
      </c>
      <c r="D105" s="131">
        <f t="shared" si="8"/>
        <v>106.48807689515336</v>
      </c>
      <c r="E105" s="132">
        <f t="shared" ref="E105:E115" si="21">SUM(B105:D105)</f>
        <v>1645.5766462983449</v>
      </c>
      <c r="F105" s="131">
        <f t="shared" si="9"/>
        <v>4363.2354470181153</v>
      </c>
      <c r="G105" s="130">
        <f t="shared" si="10"/>
        <v>561.42673280612155</v>
      </c>
      <c r="H105" s="131">
        <f t="shared" si="11"/>
        <v>977.66183659706985</v>
      </c>
      <c r="I105" s="131">
        <f t="shared" si="12"/>
        <v>106.48807689515343</v>
      </c>
      <c r="J105" s="132">
        <f t="shared" ref="J105:J115" si="22">SUM(G105:I105)</f>
        <v>1645.5766462983447</v>
      </c>
      <c r="K105" s="131">
        <f t="shared" si="13"/>
        <v>248.88643264583166</v>
      </c>
      <c r="L105" s="131">
        <f t="shared" si="14"/>
        <v>12386.446216336561</v>
      </c>
      <c r="M105" s="163">
        <f t="shared" ref="M105:M115" si="23">SUM(K105:L105)</f>
        <v>12635.332648982392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-8272.0902019642763</v>
      </c>
      <c r="S105" s="130">
        <f>SUMPRODUCT(AB13:AB19,K13:K19)/SUM(K13:K19)</f>
        <v>120602.34029442044</v>
      </c>
      <c r="T105" s="131">
        <f>SUMPRODUCT(AC13:AC19,L13:L19)/SUM(L13:L19)</f>
        <v>95295.029257792237</v>
      </c>
      <c r="U105" s="131">
        <f>SUMPRODUCT(AD13:AD19,M13:M19)/SUM(M13:M19)</f>
        <v>95228.384777018713</v>
      </c>
      <c r="V105" s="132">
        <f t="shared" si="19"/>
        <v>103924.89413874688</v>
      </c>
      <c r="W105" s="133">
        <f>SUMPRODUCT(AE13:AE19,AG13:AG19)/SUM(AG13:AG19)</f>
        <v>7421.0084818891492</v>
      </c>
      <c r="X105" s="153">
        <f t="shared" ref="X105:X115" si="25">B105-G105-N105</f>
        <v>-7.0000000000000001E-3</v>
      </c>
      <c r="Y105" s="154">
        <f t="shared" si="20"/>
        <v>-6.9999999998863133E-3</v>
      </c>
      <c r="Z105" s="154">
        <f t="shared" si="20"/>
        <v>-7.0000000000710544E-3</v>
      </c>
      <c r="AA105" s="154">
        <f t="shared" si="20"/>
        <v>-2.0999999999772628E-2</v>
      </c>
      <c r="AB105" s="155">
        <f t="shared" ref="AB105:AB116" si="26">F105-M105-R105</f>
        <v>-6.9999999996070983E-3</v>
      </c>
    </row>
    <row r="106" spans="1:28" customFormat="1" x14ac:dyDescent="0.3">
      <c r="A106" s="160">
        <v>2020</v>
      </c>
      <c r="B106" s="130">
        <f t="shared" si="6"/>
        <v>597.57316580963334</v>
      </c>
      <c r="C106" s="131">
        <f t="shared" si="7"/>
        <v>1043.7109461740313</v>
      </c>
      <c r="D106" s="131">
        <f t="shared" si="8"/>
        <v>107.03280117839864</v>
      </c>
      <c r="E106" s="132">
        <f t="shared" si="21"/>
        <v>1748.3169131620632</v>
      </c>
      <c r="F106" s="131">
        <f t="shared" si="9"/>
        <v>4503.2090816600357</v>
      </c>
      <c r="G106" s="130">
        <f t="shared" si="10"/>
        <v>597.57316580963322</v>
      </c>
      <c r="H106" s="131">
        <f t="shared" si="11"/>
        <v>1043.7109461740311</v>
      </c>
      <c r="I106" s="131">
        <f t="shared" si="12"/>
        <v>107.03280117839869</v>
      </c>
      <c r="J106" s="132">
        <f t="shared" si="22"/>
        <v>1748.316913162063</v>
      </c>
      <c r="K106" s="131">
        <f t="shared" si="13"/>
        <v>259.76120378490805</v>
      </c>
      <c r="L106" s="131">
        <f t="shared" si="14"/>
        <v>13227.889453500302</v>
      </c>
      <c r="M106" s="163">
        <f t="shared" si="23"/>
        <v>13487.65065728521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-8984.4345756251732</v>
      </c>
      <c r="S106" s="130">
        <f>SUMPRODUCT(AB20:AB26,K20:K26)/SUM(K20:K26)</f>
        <v>130870.66682997833</v>
      </c>
      <c r="T106" s="131">
        <f>SUMPRODUCT(AC20:AC26,L20:L26)/SUM(L20:L26)</f>
        <v>102221.7647785794</v>
      </c>
      <c r="U106" s="131">
        <f>SUMPRODUCT(AD20:AD26,M20:M26)/SUM(M20:M26)</f>
        <v>93190.35151563042</v>
      </c>
      <c r="V106" s="132">
        <f t="shared" si="19"/>
        <v>111461.02655891432</v>
      </c>
      <c r="W106" s="133">
        <f>SUMPRODUCT(AE20:AE26,AG20:AG26)/SUM(AG20:AG26)</f>
        <v>7642.2438156598218</v>
      </c>
      <c r="X106" s="153">
        <f t="shared" si="25"/>
        <v>-6.9999999998863133E-3</v>
      </c>
      <c r="Y106" s="154">
        <f t="shared" si="20"/>
        <v>-6.9999999997726265E-3</v>
      </c>
      <c r="Z106" s="154">
        <f t="shared" si="20"/>
        <v>-7.0000000000426327E-3</v>
      </c>
      <c r="AA106" s="154">
        <f t="shared" si="20"/>
        <v>-2.0999999999772628E-2</v>
      </c>
      <c r="AB106" s="155">
        <f t="shared" si="26"/>
        <v>-7.0000000014260877E-3</v>
      </c>
    </row>
    <row r="107" spans="1:28" customFormat="1" x14ac:dyDescent="0.3">
      <c r="A107" s="160">
        <v>2021</v>
      </c>
      <c r="B107" s="130">
        <f t="shared" si="6"/>
        <v>615.80720452500702</v>
      </c>
      <c r="C107" s="131">
        <f t="shared" si="7"/>
        <v>1094.5736513351226</v>
      </c>
      <c r="D107" s="131">
        <f t="shared" si="8"/>
        <v>113.66355054731915</v>
      </c>
      <c r="E107" s="132">
        <f t="shared" si="21"/>
        <v>1824.0444064074486</v>
      </c>
      <c r="F107" s="131">
        <f t="shared" si="9"/>
        <v>4685.3900596601552</v>
      </c>
      <c r="G107" s="130">
        <f t="shared" si="10"/>
        <v>615.80720452500714</v>
      </c>
      <c r="H107" s="131">
        <f t="shared" si="11"/>
        <v>1094.5736513351226</v>
      </c>
      <c r="I107" s="131">
        <f t="shared" si="12"/>
        <v>113.66355054731912</v>
      </c>
      <c r="J107" s="132">
        <f t="shared" si="22"/>
        <v>1824.0444064074488</v>
      </c>
      <c r="K107" s="131">
        <f t="shared" si="13"/>
        <v>268.91570000166718</v>
      </c>
      <c r="L107" s="131">
        <f t="shared" si="14"/>
        <v>13937.268248270611</v>
      </c>
      <c r="M107" s="163">
        <f t="shared" si="23"/>
        <v>14206.183948272279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-9520.7868886121214</v>
      </c>
      <c r="S107" s="130">
        <f>SUMPRODUCT(AB27:AB33,K27:K33)/SUM(K27:K33)</f>
        <v>138307.77056000195</v>
      </c>
      <c r="T107" s="131">
        <f>SUMPRODUCT(AC27:AC33,L27:L33)/SUM(L27:L33)</f>
        <v>105829.02638285777</v>
      </c>
      <c r="U107" s="131">
        <f>SUMPRODUCT(AD27:AD33,M27:M33)/SUM(M27:M33)</f>
        <v>95833.975984896344</v>
      </c>
      <c r="V107" s="132">
        <f t="shared" si="19"/>
        <v>116171.19331465583</v>
      </c>
      <c r="W107" s="133">
        <f>SUMPRODUCT(AE27:AE33,AG27:AG33)/SUM(AG27:AG33)</f>
        <v>7898.7829608529219</v>
      </c>
      <c r="X107" s="153">
        <f t="shared" si="25"/>
        <v>-7.000000000113687E-3</v>
      </c>
      <c r="Y107" s="154">
        <f t="shared" si="20"/>
        <v>-7.0000000000000001E-3</v>
      </c>
      <c r="Z107" s="154">
        <f t="shared" si="20"/>
        <v>-6.9999999999715784E-3</v>
      </c>
      <c r="AA107" s="154">
        <f t="shared" si="20"/>
        <v>-2.1000000000227375E-2</v>
      </c>
      <c r="AB107" s="155">
        <f t="shared" si="26"/>
        <v>-7.0000000014260877E-3</v>
      </c>
    </row>
    <row r="108" spans="1:28" customFormat="1" x14ac:dyDescent="0.3">
      <c r="A108" s="160">
        <v>2022</v>
      </c>
      <c r="B108" s="130">
        <f t="shared" si="6"/>
        <v>634.55465047247912</v>
      </c>
      <c r="C108" s="131">
        <f t="shared" si="7"/>
        <v>1154.0374508997315</v>
      </c>
      <c r="D108" s="131">
        <f t="shared" si="8"/>
        <v>121.66103980911275</v>
      </c>
      <c r="E108" s="132">
        <f t="shared" si="21"/>
        <v>1910.2531411813234</v>
      </c>
      <c r="F108" s="131">
        <f t="shared" si="9"/>
        <v>4891.8019359395721</v>
      </c>
      <c r="G108" s="130">
        <f t="shared" si="10"/>
        <v>634.55465047247935</v>
      </c>
      <c r="H108" s="131">
        <f t="shared" si="11"/>
        <v>1154.0374508997322</v>
      </c>
      <c r="I108" s="131">
        <f t="shared" si="12"/>
        <v>121.66103980911272</v>
      </c>
      <c r="J108" s="132">
        <f t="shared" si="22"/>
        <v>1910.2531411813243</v>
      </c>
      <c r="K108" s="131">
        <f t="shared" si="13"/>
        <v>277.84916322054426</v>
      </c>
      <c r="L108" s="131">
        <f t="shared" si="14"/>
        <v>14707.142739460811</v>
      </c>
      <c r="M108" s="163">
        <f t="shared" si="23"/>
        <v>14984.991902681355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-10093.182966741781</v>
      </c>
      <c r="S108" s="130">
        <f>SUMPRODUCT(AB34:AB40,K34:K40)/SUM(K34:K40)</f>
        <v>145971.71236524172</v>
      </c>
      <c r="T108" s="131">
        <f>SUMPRODUCT(AC34:AC40,L34:L40)/SUM(L34:L40)</f>
        <v>108744.70985998151</v>
      </c>
      <c r="U108" s="131">
        <f>SUMPRODUCT(AD34:AD40,M34:M40)/SUM(M34:M40)</f>
        <v>97633.786336384335</v>
      </c>
      <c r="V108" s="132">
        <f t="shared" si="19"/>
        <v>120403.26996054003</v>
      </c>
      <c r="W108" s="133">
        <f>SUMPRODUCT(AE34:AE40,AG34:AG40)/SUM(AG34:AG40)</f>
        <v>8161.7388289450864</v>
      </c>
      <c r="X108" s="153">
        <f t="shared" si="25"/>
        <v>-7.0000000002273738E-3</v>
      </c>
      <c r="Y108" s="154">
        <f t="shared" si="20"/>
        <v>-7.0000000006821212E-3</v>
      </c>
      <c r="Z108" s="154">
        <f t="shared" si="20"/>
        <v>-6.9999999999715784E-3</v>
      </c>
      <c r="AA108" s="154">
        <f t="shared" si="20"/>
        <v>-2.1000000000909496E-2</v>
      </c>
      <c r="AB108" s="155">
        <f t="shared" si="26"/>
        <v>-7.0000000014260877E-3</v>
      </c>
    </row>
    <row r="109" spans="1:28" customFormat="1" x14ac:dyDescent="0.3">
      <c r="A109" s="160">
        <v>2023</v>
      </c>
      <c r="B109" s="130">
        <f t="shared" si="6"/>
        <v>653.84648730446577</v>
      </c>
      <c r="C109" s="131">
        <f t="shared" si="7"/>
        <v>1223.3042529076447</v>
      </c>
      <c r="D109" s="131">
        <f t="shared" si="8"/>
        <v>131.2661947638793</v>
      </c>
      <c r="E109" s="132">
        <f t="shared" si="21"/>
        <v>2008.41693497599</v>
      </c>
      <c r="F109" s="131">
        <f t="shared" si="9"/>
        <v>5122.6583367306848</v>
      </c>
      <c r="G109" s="130">
        <f t="shared" si="10"/>
        <v>653.84648730446588</v>
      </c>
      <c r="H109" s="131">
        <f t="shared" si="11"/>
        <v>1223.3042529076442</v>
      </c>
      <c r="I109" s="131">
        <f t="shared" si="12"/>
        <v>131.26619476387935</v>
      </c>
      <c r="J109" s="132">
        <f t="shared" si="22"/>
        <v>2008.4169349759895</v>
      </c>
      <c r="K109" s="131">
        <f t="shared" si="13"/>
        <v>286.58464887845611</v>
      </c>
      <c r="L109" s="131">
        <f t="shared" si="14"/>
        <v>15547.609057216574</v>
      </c>
      <c r="M109" s="163">
        <f t="shared" si="23"/>
        <v>15834.193706095029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-10711.528369364343</v>
      </c>
      <c r="S109" s="130">
        <f>SUMPRODUCT(AB41:AB47,K41:K47)/SUM(K41:K47)</f>
        <v>153847.67188109879</v>
      </c>
      <c r="T109" s="131">
        <f>SUMPRODUCT(AC41:AC47,L41:L47)/SUM(L41:L47)</f>
        <v>110887.1810799555</v>
      </c>
      <c r="U109" s="131">
        <f>SUMPRODUCT(AD41:AD47,M41:M47)/SUM(M41:M47)</f>
        <v>98524.916944257013</v>
      </c>
      <c r="V109" s="132">
        <f t="shared" si="19"/>
        <v>124065.13142011265</v>
      </c>
      <c r="W109" s="133">
        <f>SUMPRODUCT(AE41:AE47,AG41:AG47)/SUM(AG41:AG47)</f>
        <v>8419.3291964554301</v>
      </c>
      <c r="X109" s="153">
        <f t="shared" si="25"/>
        <v>-7.000000000113687E-3</v>
      </c>
      <c r="Y109" s="154">
        <f t="shared" si="20"/>
        <v>-6.9999999995452528E-3</v>
      </c>
      <c r="Z109" s="154">
        <f t="shared" si="20"/>
        <v>-7.0000000000568436E-3</v>
      </c>
      <c r="AA109" s="154">
        <f t="shared" si="20"/>
        <v>-2.0999999999545254E-2</v>
      </c>
      <c r="AB109" s="155">
        <f t="shared" si="26"/>
        <v>-7.0000000014260877E-3</v>
      </c>
    </row>
    <row r="110" spans="1:28" customFormat="1" x14ac:dyDescent="0.3">
      <c r="A110" s="160">
        <v>2024</v>
      </c>
      <c r="B110" s="130">
        <f t="shared" si="6"/>
        <v>673.64820406833269</v>
      </c>
      <c r="C110" s="131">
        <f t="shared" si="7"/>
        <v>1303.6410914249291</v>
      </c>
      <c r="D110" s="131">
        <f t="shared" si="8"/>
        <v>142.76018718829047</v>
      </c>
      <c r="E110" s="132">
        <f t="shared" si="21"/>
        <v>2120.049482681552</v>
      </c>
      <c r="F110" s="131">
        <f t="shared" si="9"/>
        <v>5386.6446305001982</v>
      </c>
      <c r="G110" s="130">
        <f t="shared" si="10"/>
        <v>673.64820406833269</v>
      </c>
      <c r="H110" s="131">
        <f t="shared" si="11"/>
        <v>1303.6410914249288</v>
      </c>
      <c r="I110" s="131">
        <f t="shared" si="12"/>
        <v>142.76018718829047</v>
      </c>
      <c r="J110" s="132">
        <f t="shared" si="22"/>
        <v>2120.049482681552</v>
      </c>
      <c r="K110" s="131">
        <f t="shared" si="13"/>
        <v>294.37421656424709</v>
      </c>
      <c r="L110" s="131">
        <f t="shared" si="14"/>
        <v>16456.485358714883</v>
      </c>
      <c r="M110" s="163">
        <f t="shared" si="23"/>
        <v>16750.85957527913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-11364.207944778933</v>
      </c>
      <c r="S110" s="130">
        <f>SUMPRODUCT(AB48:AB54,K48:K54)/SUM(K48:K54)</f>
        <v>161925.29060775551</v>
      </c>
      <c r="T110" s="131">
        <f>SUMPRODUCT(AC48:AC54,L48:L54)/SUM(L48:L54)</f>
        <v>112207.07345022059</v>
      </c>
      <c r="U110" s="131">
        <f>SUMPRODUCT(AD48:AD54,M48:M54)/SUM(M48:M54)</f>
        <v>98478.149443916758</v>
      </c>
      <c r="V110" s="132">
        <f t="shared" si="19"/>
        <v>127080.61493791023</v>
      </c>
      <c r="W110" s="133">
        <f>SUMPRODUCT(AE48:AE54,AG48:AG54)/SUM(AG48:AG54)</f>
        <v>8686.6062272615363</v>
      </c>
      <c r="X110" s="153">
        <f t="shared" si="25"/>
        <v>-7.0000000000000001E-3</v>
      </c>
      <c r="Y110" s="154">
        <f t="shared" si="20"/>
        <v>-6.9999999997726265E-3</v>
      </c>
      <c r="Z110" s="154">
        <f t="shared" si="20"/>
        <v>-7.0000000000000001E-3</v>
      </c>
      <c r="AA110" s="154">
        <f t="shared" si="20"/>
        <v>-2.1000000000000001E-2</v>
      </c>
      <c r="AB110" s="155">
        <f t="shared" si="26"/>
        <v>-6.9999999977881089E-3</v>
      </c>
    </row>
    <row r="111" spans="1:28" customFormat="1" x14ac:dyDescent="0.3">
      <c r="A111" s="160">
        <v>2025</v>
      </c>
      <c r="B111" s="130">
        <f t="shared" si="6"/>
        <v>693.9858165839139</v>
      </c>
      <c r="C111" s="131">
        <f t="shared" si="7"/>
        <v>1396.6748750737515</v>
      </c>
      <c r="D111" s="131">
        <f t="shared" si="8"/>
        <v>156.50186685453085</v>
      </c>
      <c r="E111" s="132">
        <f t="shared" si="21"/>
        <v>2247.1625585121965</v>
      </c>
      <c r="F111" s="131">
        <f t="shared" si="9"/>
        <v>5687.7562034390448</v>
      </c>
      <c r="G111" s="130">
        <f t="shared" si="10"/>
        <v>693.98581658391379</v>
      </c>
      <c r="H111" s="131">
        <f t="shared" si="11"/>
        <v>1396.6748750737511</v>
      </c>
      <c r="I111" s="131">
        <f t="shared" si="12"/>
        <v>156.50186685453082</v>
      </c>
      <c r="J111" s="132">
        <f t="shared" si="22"/>
        <v>2247.1625585121956</v>
      </c>
      <c r="K111" s="131">
        <f t="shared" si="13"/>
        <v>301.20465070685225</v>
      </c>
      <c r="L111" s="131">
        <f t="shared" si="14"/>
        <v>17445.401937801904</v>
      </c>
      <c r="M111" s="163">
        <f t="shared" si="23"/>
        <v>17746.606588508756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7.0000000000000001E-3</v>
      </c>
      <c r="Q111" s="139">
        <f t="shared" si="24"/>
        <v>2.1000000000000001E-2</v>
      </c>
      <c r="R111" s="131">
        <f t="shared" si="18"/>
        <v>-12058.843385069713</v>
      </c>
      <c r="S111" s="130">
        <f>SUMPRODUCT(AB55:AB61,K55:K61)/SUM(K55:K61)</f>
        <v>170197.62959913898</v>
      </c>
      <c r="T111" s="131">
        <f>SUMPRODUCT(AC55:AC61,L55:L61)/SUM(L55:L61)</f>
        <v>112684.13780618472</v>
      </c>
      <c r="U111" s="131">
        <f>SUMPRODUCT(AD55:AD61,M55:M61)/SUM(M55:M61)</f>
        <v>97511.230980718727</v>
      </c>
      <c r="V111" s="132">
        <f t="shared" si="19"/>
        <v>129389.18621513656</v>
      </c>
      <c r="W111" s="133">
        <f>SUMPRODUCT(AE55:AE61,AG55:AG61)/SUM(AG55:AG61)</f>
        <v>8963.9224519055497</v>
      </c>
      <c r="X111" s="153">
        <f t="shared" si="25"/>
        <v>-6.9999999998863133E-3</v>
      </c>
      <c r="Y111" s="154">
        <f t="shared" si="20"/>
        <v>-6.9999999995452528E-3</v>
      </c>
      <c r="Z111" s="154">
        <f t="shared" si="20"/>
        <v>-6.9999999999715784E-3</v>
      </c>
      <c r="AA111" s="154">
        <f t="shared" si="20"/>
        <v>-2.0999999999090507E-2</v>
      </c>
      <c r="AB111" s="155">
        <f t="shared" si="26"/>
        <v>-6.9999999977881089E-3</v>
      </c>
    </row>
    <row r="112" spans="1:28" customFormat="1" x14ac:dyDescent="0.3">
      <c r="A112" s="160">
        <v>2026</v>
      </c>
      <c r="B112" s="130">
        <f t="shared" si="6"/>
        <v>667.72874823421785</v>
      </c>
      <c r="C112" s="131">
        <f t="shared" si="7"/>
        <v>1505.2909924128212</v>
      </c>
      <c r="D112" s="131">
        <f t="shared" si="8"/>
        <v>173.0980204616952</v>
      </c>
      <c r="E112" s="132">
        <f t="shared" si="21"/>
        <v>2346.1177611087342</v>
      </c>
      <c r="F112" s="131">
        <f t="shared" si="9"/>
        <v>6044.0359029798474</v>
      </c>
      <c r="G112" s="130">
        <f t="shared" si="10"/>
        <v>667.72874823421796</v>
      </c>
      <c r="H112" s="131">
        <f t="shared" si="11"/>
        <v>1505.2909924128214</v>
      </c>
      <c r="I112" s="131">
        <f t="shared" si="12"/>
        <v>173.09802046169517</v>
      </c>
      <c r="J112" s="132">
        <f t="shared" si="22"/>
        <v>2346.1177611087346</v>
      </c>
      <c r="K112" s="131">
        <f t="shared" si="13"/>
        <v>319.04392264204648</v>
      </c>
      <c r="L112" s="131">
        <f t="shared" si="14"/>
        <v>18550.961836950588</v>
      </c>
      <c r="M112" s="163">
        <f t="shared" si="23"/>
        <v>18870.005759592634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7.0000000000000001E-3</v>
      </c>
      <c r="Q112" s="139">
        <f t="shared" si="24"/>
        <v>2.1000000000000001E-2</v>
      </c>
      <c r="R112" s="131">
        <f t="shared" si="18"/>
        <v>-12825.962856612787</v>
      </c>
      <c r="S112" s="130">
        <f>SUMPRODUCT(AB62:AB68,K62:K68)/SUM(K62:K68)</f>
        <v>194912.60270815738</v>
      </c>
      <c r="T112" s="131">
        <f>SUMPRODUCT(AC62:AC68,L62:L68)/SUM(L62:L68)</f>
        <v>113235.08075292861</v>
      </c>
      <c r="U112" s="131">
        <f>SUMPRODUCT(AD62:AD68,M62:M68)/SUM(M62:M68)</f>
        <v>96401.939160681257</v>
      </c>
      <c r="V112" s="132">
        <f t="shared" si="19"/>
        <v>135239.36666817241</v>
      </c>
      <c r="W112" s="133">
        <f>SUMPRODUCT(AE62:AE68,AG62:AG68)/SUM(AG62:AG68)</f>
        <v>9237.7421853688793</v>
      </c>
      <c r="X112" s="153">
        <f t="shared" si="25"/>
        <v>-7.000000000113687E-3</v>
      </c>
      <c r="Y112" s="154">
        <f t="shared" si="20"/>
        <v>-7.0000000002273738E-3</v>
      </c>
      <c r="Z112" s="154">
        <f t="shared" si="20"/>
        <v>-6.9999999999715784E-3</v>
      </c>
      <c r="AA112" s="154">
        <f t="shared" si="20"/>
        <v>-2.1000000000454749E-2</v>
      </c>
      <c r="AB112" s="155">
        <f t="shared" si="26"/>
        <v>-6.9999999996070983E-3</v>
      </c>
    </row>
    <row r="113" spans="1:28" customFormat="1" x14ac:dyDescent="0.3">
      <c r="A113" s="160">
        <v>2027</v>
      </c>
      <c r="B113" s="130">
        <f t="shared" si="6"/>
        <v>636.87536632901663</v>
      </c>
      <c r="C113" s="131">
        <f t="shared" si="7"/>
        <v>1631.2144948277091</v>
      </c>
      <c r="D113" s="131">
        <f t="shared" si="8"/>
        <v>193.00834414434794</v>
      </c>
      <c r="E113" s="132">
        <f t="shared" si="21"/>
        <v>2461.0982053010739</v>
      </c>
      <c r="F113" s="131">
        <f t="shared" si="9"/>
        <v>6451.467993375607</v>
      </c>
      <c r="G113" s="130">
        <f t="shared" si="10"/>
        <v>636.87536632901652</v>
      </c>
      <c r="H113" s="131">
        <f t="shared" si="11"/>
        <v>1631.2144948277091</v>
      </c>
      <c r="I113" s="131">
        <f t="shared" si="12"/>
        <v>193.00834414434777</v>
      </c>
      <c r="J113" s="132">
        <f t="shared" si="22"/>
        <v>2461.098205301073</v>
      </c>
      <c r="K113" s="131">
        <f t="shared" si="13"/>
        <v>338.94892417443589</v>
      </c>
      <c r="L113" s="131">
        <f t="shared" si="14"/>
        <v>19810.119645189043</v>
      </c>
      <c r="M113" s="163">
        <f t="shared" si="23"/>
        <v>20149.06856936348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7.0000000000000001E-3</v>
      </c>
      <c r="Q113" s="139">
        <f t="shared" si="24"/>
        <v>2.1000000000000001E-2</v>
      </c>
      <c r="R113" s="131">
        <f t="shared" si="18"/>
        <v>-13697.593575987876</v>
      </c>
      <c r="S113" s="130">
        <f>SUMPRODUCT(AB69:AB75,K69:K75)/SUM(K69:K75)</f>
        <v>225399.89376228108</v>
      </c>
      <c r="T113" s="131">
        <f>SUMPRODUCT(AC69:AC75,L69:L75)/SUM(L69:L75)</f>
        <v>113040.5897429476</v>
      </c>
      <c r="U113" s="131">
        <f>SUMPRODUCT(AD69:AD75,M69:M75)/SUM(M69:M75)</f>
        <v>94503.363259295525</v>
      </c>
      <c r="V113" s="132">
        <f t="shared" si="19"/>
        <v>140662.82496002284</v>
      </c>
      <c r="W113" s="133">
        <f>SUMPRODUCT(AE69:AE75,AG69:AG75)/SUM(AG69:AG75)</f>
        <v>9521.497811174786</v>
      </c>
      <c r="X113" s="153">
        <f t="shared" si="25"/>
        <v>-6.9999999998863133E-3</v>
      </c>
      <c r="Y113" s="154">
        <f t="shared" si="20"/>
        <v>-7.0000000000000001E-3</v>
      </c>
      <c r="Z113" s="154">
        <f t="shared" si="20"/>
        <v>-6.9999999998294699E-3</v>
      </c>
      <c r="AA113" s="154">
        <f t="shared" si="20"/>
        <v>-2.0999999999090507E-2</v>
      </c>
      <c r="AB113" s="155">
        <f t="shared" si="26"/>
        <v>-6.9999999977881089E-3</v>
      </c>
    </row>
    <row r="114" spans="1:28" customFormat="1" x14ac:dyDescent="0.3">
      <c r="A114" s="160">
        <v>2028</v>
      </c>
      <c r="B114" s="130">
        <f t="shared" si="6"/>
        <v>602.14859957157694</v>
      </c>
      <c r="C114" s="131">
        <f t="shared" si="7"/>
        <v>1777.2587744367015</v>
      </c>
      <c r="D114" s="131">
        <f t="shared" si="8"/>
        <v>216.95566856842362</v>
      </c>
      <c r="E114" s="132">
        <f t="shared" si="21"/>
        <v>2596.3630425767024</v>
      </c>
      <c r="F114" s="131">
        <f t="shared" si="9"/>
        <v>6917.2596360332855</v>
      </c>
      <c r="G114" s="130">
        <f t="shared" si="10"/>
        <v>602.14859957157682</v>
      </c>
      <c r="H114" s="131">
        <f t="shared" si="11"/>
        <v>1777.2587744367017</v>
      </c>
      <c r="I114" s="131">
        <f t="shared" si="12"/>
        <v>216.95566856842373</v>
      </c>
      <c r="J114" s="132">
        <f t="shared" si="22"/>
        <v>2596.3630425767024</v>
      </c>
      <c r="K114" s="131">
        <f t="shared" si="13"/>
        <v>360.79579775975753</v>
      </c>
      <c r="L114" s="131">
        <f t="shared" si="14"/>
        <v>21262.015854711339</v>
      </c>
      <c r="M114" s="163">
        <f t="shared" si="23"/>
        <v>21622.811652471097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7.0000000000000001E-3</v>
      </c>
      <c r="Q114" s="139">
        <f t="shared" si="24"/>
        <v>2.1000000000000001E-2</v>
      </c>
      <c r="R114" s="131">
        <f t="shared" si="18"/>
        <v>-14705.545016437814</v>
      </c>
      <c r="S114" s="130">
        <f>SUMPRODUCT(AB76:AB82,K76:K82)/SUM(K76:K82)</f>
        <v>263205.90475742263</v>
      </c>
      <c r="T114" s="131">
        <f>SUMPRODUCT(AC76:AC82,L76:L82)/SUM(L76:L82)</f>
        <v>112104.99250496949</v>
      </c>
      <c r="U114" s="131">
        <f>SUMPRODUCT(AD76:AD82,M76:M82)/SUM(M76:M82)</f>
        <v>91864.870350684112</v>
      </c>
      <c r="V114" s="132">
        <f t="shared" si="19"/>
        <v>145457.02843095252</v>
      </c>
      <c r="W114" s="133">
        <f>SUMPRODUCT(AE76:AE82,AG76:AG82)/SUM(AG76:AG82)</f>
        <v>9815.6304301596374</v>
      </c>
      <c r="X114" s="153">
        <f t="shared" si="25"/>
        <v>-6.9999999998863133E-3</v>
      </c>
      <c r="Y114" s="154">
        <f t="shared" si="20"/>
        <v>-7.0000000002273738E-3</v>
      </c>
      <c r="Z114" s="154">
        <f t="shared" si="20"/>
        <v>-7.000000000113687E-3</v>
      </c>
      <c r="AA114" s="154">
        <f t="shared" si="20"/>
        <v>-2.1000000000000001E-2</v>
      </c>
      <c r="AB114" s="155">
        <f t="shared" si="26"/>
        <v>-6.9999999959691195E-3</v>
      </c>
    </row>
    <row r="115" spans="1:28" s="288" customFormat="1" x14ac:dyDescent="0.3">
      <c r="A115" s="160">
        <v>2029</v>
      </c>
      <c r="B115" s="130">
        <f t="shared" si="6"/>
        <v>564.80061342366037</v>
      </c>
      <c r="C115" s="131">
        <f t="shared" si="7"/>
        <v>1947.321706167058</v>
      </c>
      <c r="D115" s="131">
        <f t="shared" si="8"/>
        <v>249.1470648739446</v>
      </c>
      <c r="E115" s="132">
        <f t="shared" si="21"/>
        <v>2761.2693844646628</v>
      </c>
      <c r="F115" s="131">
        <f t="shared" si="9"/>
        <v>7377.751361431443</v>
      </c>
      <c r="G115" s="130">
        <f t="shared" si="10"/>
        <v>564.80061342366025</v>
      </c>
      <c r="H115" s="131">
        <f t="shared" si="11"/>
        <v>1947.3217061670582</v>
      </c>
      <c r="I115" s="131">
        <f t="shared" si="12"/>
        <v>242.57843383815279</v>
      </c>
      <c r="J115" s="132">
        <f t="shared" si="22"/>
        <v>2754.7007534288714</v>
      </c>
      <c r="K115" s="131">
        <f t="shared" si="13"/>
        <v>389.59410192318398</v>
      </c>
      <c r="L115" s="131">
        <f t="shared" si="14"/>
        <v>23109.518916947305</v>
      </c>
      <c r="M115" s="163">
        <f t="shared" si="23"/>
        <v>23499.113018870488</v>
      </c>
      <c r="N115" s="131">
        <f t="shared" si="15"/>
        <v>7.0000000000000001E-3</v>
      </c>
      <c r="O115" s="131">
        <f t="shared" si="16"/>
        <v>7.0000000000000001E-3</v>
      </c>
      <c r="P115" s="131">
        <f>SUMIFS(T$6:T$96,$B$6:$B$96,$A115)</f>
        <v>6.5756310357917629</v>
      </c>
      <c r="Q115" s="139">
        <f t="shared" si="24"/>
        <v>6.5896310357917631</v>
      </c>
      <c r="R115" s="131">
        <f t="shared" si="18"/>
        <v>-16121.35465743904</v>
      </c>
      <c r="S115" s="130">
        <f t="shared" ref="S115:U116" si="27">SUMPRODUCT(AB83:AB89,K83:K89)/SUM(K83:K89)</f>
        <v>310726.26976221538</v>
      </c>
      <c r="T115" s="131">
        <f t="shared" si="27"/>
        <v>110619.50393550223</v>
      </c>
      <c r="U115" s="131">
        <f t="shared" si="27"/>
        <v>90080.179240432102</v>
      </c>
      <c r="V115" s="132">
        <f t="shared" si="19"/>
        <v>149839.01870059976</v>
      </c>
      <c r="W115" s="133">
        <f>SUMPRODUCT(AE83:AE89,AG83:AG89)/SUM(AG83:AG89)</f>
        <v>10086.803502943512</v>
      </c>
      <c r="X115" s="153">
        <f t="shared" si="25"/>
        <v>-6.9999999998863133E-3</v>
      </c>
      <c r="Y115" s="154">
        <f t="shared" si="20"/>
        <v>-7.0000000002273738E-3</v>
      </c>
      <c r="Z115" s="154">
        <f t="shared" si="20"/>
        <v>-6.9999999999525997E-3</v>
      </c>
      <c r="AA115" s="154">
        <f t="shared" si="20"/>
        <v>-2.1000000000322316E-2</v>
      </c>
      <c r="AB115" s="155">
        <f t="shared" si="26"/>
        <v>-7.0000000050640665E-3</v>
      </c>
    </row>
    <row r="116" spans="1:28" s="288" customFormat="1" ht="16.2" thickBot="1" x14ac:dyDescent="0.35">
      <c r="A116" s="161">
        <v>2030</v>
      </c>
      <c r="B116" s="134">
        <f t="shared" si="6"/>
        <v>524.84821475456101</v>
      </c>
      <c r="C116" s="135">
        <f t="shared" si="7"/>
        <v>2145.4309571147492</v>
      </c>
      <c r="D116" s="135">
        <f>SUMIFS(G$6:G$96,$B$6:$B$96,$A116)</f>
        <v>293.8755932499277</v>
      </c>
      <c r="E116" s="136">
        <f>SUM(B116:D116)</f>
        <v>2964.1547651192377</v>
      </c>
      <c r="F116" s="135">
        <f t="shared" si="9"/>
        <v>8005.3977464934105</v>
      </c>
      <c r="G116" s="134">
        <f>SUMIFS(K$6:K$96,$B$6:$B$96,$A116)</f>
        <v>524.84821475456124</v>
      </c>
      <c r="H116" s="135">
        <f t="shared" si="11"/>
        <v>2145.4309571147492</v>
      </c>
      <c r="I116" s="135">
        <f t="shared" si="12"/>
        <v>268.46524340020051</v>
      </c>
      <c r="J116" s="136">
        <f t="shared" ref="J116" si="28">SUM(G116:I116)</f>
        <v>2938.7444152695111</v>
      </c>
      <c r="K116" s="135">
        <f t="shared" si="13"/>
        <v>425.98471727108381</v>
      </c>
      <c r="L116" s="135">
        <f t="shared" si="14"/>
        <v>25409.236853666443</v>
      </c>
      <c r="M116" s="164">
        <f t="shared" ref="M116" si="29">SUM(K116:L116)</f>
        <v>25835.221570937527</v>
      </c>
      <c r="N116" s="135">
        <f t="shared" si="15"/>
        <v>7.0000000000000001E-3</v>
      </c>
      <c r="O116" s="135">
        <f t="shared" si="16"/>
        <v>7.0000000000000001E-3</v>
      </c>
      <c r="P116" s="135">
        <f>SUMIFS(T$6:T$96,$B$6:$B$96,$A116)</f>
        <v>25.417349849727231</v>
      </c>
      <c r="Q116" s="140">
        <f t="shared" ref="Q116" si="30">SUM(N116:P116)</f>
        <v>25.43134984972723</v>
      </c>
      <c r="R116" s="135">
        <f t="shared" si="18"/>
        <v>-17829.816824444115</v>
      </c>
      <c r="S116" s="134">
        <f t="shared" si="27"/>
        <v>326748.22461386933</v>
      </c>
      <c r="T116" s="135">
        <f t="shared" si="27"/>
        <v>110467.27119921341</v>
      </c>
      <c r="U116" s="135">
        <f t="shared" si="27"/>
        <v>90026.356887115922</v>
      </c>
      <c r="V116" s="136">
        <f t="shared" ref="V116" si="31">SUMPRODUCT(S116:U116,G116:I116)/J116</f>
        <v>147226.84671305391</v>
      </c>
      <c r="W116" s="137">
        <f>SUMPRODUCT(AE84:AE90,AG84:AG90)/SUM(AG84:AG90)</f>
        <v>10136.570027780323</v>
      </c>
      <c r="X116" s="156">
        <f>B116-G116-N116</f>
        <v>-7.0000000002273738E-3</v>
      </c>
      <c r="Y116" s="157">
        <f t="shared" si="20"/>
        <v>-7.0000000000000001E-3</v>
      </c>
      <c r="Z116" s="157">
        <f t="shared" si="20"/>
        <v>-7.0000000000334239E-3</v>
      </c>
      <c r="AA116" s="157">
        <f t="shared" si="20"/>
        <v>-2.1000000000658048E-2</v>
      </c>
      <c r="AB116" s="158">
        <f t="shared" si="26"/>
        <v>-7.0000000014260877E-3</v>
      </c>
    </row>
    <row r="117" spans="1:28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72"/>
      <c r="Y117" s="72"/>
      <c r="Z117" s="72"/>
      <c r="AA117" s="72"/>
      <c r="AB117" s="72"/>
    </row>
    <row r="118" spans="1:28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2"/>
      <c r="Y118" s="72"/>
      <c r="Z118" s="72"/>
      <c r="AA118" s="72"/>
      <c r="AB118" s="72"/>
    </row>
    <row r="119" spans="1:28" x14ac:dyDescent="0.3">
      <c r="B119" s="497"/>
      <c r="C119" s="497"/>
      <c r="D119" s="706"/>
      <c r="E119" s="706"/>
      <c r="F119" s="706"/>
      <c r="G119" s="706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</row>
    <row r="120" spans="1:28" x14ac:dyDescent="0.3">
      <c r="B120" s="497"/>
      <c r="C120" s="497"/>
      <c r="D120" s="706"/>
      <c r="E120" s="706"/>
      <c r="F120" s="706"/>
      <c r="G120" s="706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</row>
    <row r="121" spans="1:28" x14ac:dyDescent="0.3">
      <c r="B121" s="497"/>
      <c r="C121" s="497"/>
      <c r="D121" s="706"/>
      <c r="E121" s="706"/>
      <c r="F121" s="706"/>
      <c r="G121" s="706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</row>
    <row r="122" spans="1:28" x14ac:dyDescent="0.3">
      <c r="B122" s="497"/>
      <c r="C122" s="497"/>
      <c r="D122" s="706"/>
      <c r="E122" s="706"/>
      <c r="F122" s="706"/>
      <c r="G122" s="706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</row>
    <row r="123" spans="1:28" x14ac:dyDescent="0.3">
      <c r="B123" s="497"/>
      <c r="C123" s="497"/>
      <c r="D123" s="706"/>
      <c r="E123" s="706"/>
      <c r="F123" s="706"/>
      <c r="G123" s="706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</row>
    <row r="124" spans="1:28" x14ac:dyDescent="0.3">
      <c r="B124" s="497"/>
      <c r="C124" s="497"/>
      <c r="D124" s="706"/>
      <c r="E124" s="706"/>
      <c r="F124" s="706"/>
      <c r="G124" s="706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</row>
    <row r="125" spans="1:28" x14ac:dyDescent="0.3">
      <c r="B125" s="497"/>
      <c r="C125" s="497"/>
      <c r="D125" s="706"/>
      <c r="E125" s="706"/>
      <c r="F125" s="706"/>
      <c r="G125" s="706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</row>
    <row r="126" spans="1:28" x14ac:dyDescent="0.3"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</row>
    <row r="127" spans="1:28" x14ac:dyDescent="0.3"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</row>
    <row r="128" spans="1:28" x14ac:dyDescent="0.3"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</row>
    <row r="129" spans="2:28" x14ac:dyDescent="0.3"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</row>
    <row r="131" spans="2:28" x14ac:dyDescent="0.3">
      <c r="B131" s="497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Q66"/>
  <sheetViews>
    <sheetView zoomScale="80" zoomScaleNormal="80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E41" sqref="E41"/>
    </sheetView>
  </sheetViews>
  <sheetFormatPr defaultRowHeight="15.6" x14ac:dyDescent="0.3"/>
  <cols>
    <col min="1" max="1" width="39.3984375" style="1" customWidth="1"/>
    <col min="2" max="2" width="5.3984375" style="1" bestFit="1" customWidth="1"/>
    <col min="3" max="3" width="5.09765625" style="1" bestFit="1" customWidth="1"/>
    <col min="4" max="4" width="6.19921875" style="1" bestFit="1" customWidth="1"/>
    <col min="5" max="5" width="6" style="1" customWidth="1"/>
    <col min="6" max="6" width="4.8984375" style="1" bestFit="1" customWidth="1"/>
    <col min="7" max="7" width="5" style="1" customWidth="1"/>
    <col min="8" max="8" width="5.3984375" style="1" customWidth="1"/>
    <col min="9" max="10" width="5.3984375" style="1" bestFit="1" customWidth="1"/>
    <col min="11" max="11" width="5.09765625" style="1" bestFit="1" customWidth="1"/>
    <col min="12" max="14" width="5.8984375" style="1" bestFit="1" customWidth="1"/>
    <col min="15" max="16" width="6" style="1" customWidth="1"/>
    <col min="17" max="18" width="6.8984375" style="1" bestFit="1" customWidth="1"/>
    <col min="19" max="24" width="6" style="1" customWidth="1"/>
    <col min="25" max="28" width="6.8984375" style="1" bestFit="1" customWidth="1"/>
    <col min="29" max="29" width="5.8984375" style="1" bestFit="1" customWidth="1"/>
    <col min="30" max="30" width="6.8984375" style="1" bestFit="1" customWidth="1"/>
    <col min="31" max="31" width="4.3984375" style="1" bestFit="1" customWidth="1"/>
    <col min="32" max="32" width="4.796875" style="1" customWidth="1"/>
    <col min="33" max="33" width="7.5" style="1" customWidth="1"/>
    <col min="34" max="34" width="6.59765625" style="1" customWidth="1"/>
    <col min="35" max="35" width="6.09765625" style="1" bestFit="1" customWidth="1"/>
    <col min="36" max="38" width="5.69921875" style="1" customWidth="1"/>
    <col min="39" max="16384" width="8.796875" style="1"/>
  </cols>
  <sheetData>
    <row r="1" spans="1:36" s="58" customFormat="1" x14ac:dyDescent="0.3">
      <c r="A1" s="57" t="s">
        <v>165</v>
      </c>
      <c r="B1" s="57"/>
      <c r="E1" s="237"/>
      <c r="H1" s="56" t="s">
        <v>158</v>
      </c>
      <c r="AH1" s="1"/>
    </row>
    <row r="2" spans="1:36" s="58" customFormat="1" ht="16.2" thickBot="1" x14ac:dyDescent="0.35">
      <c r="A2" s="55" t="s">
        <v>184</v>
      </c>
      <c r="E2" s="237"/>
      <c r="H2" s="56" t="s">
        <v>228</v>
      </c>
      <c r="AH2" s="1"/>
    </row>
    <row r="3" spans="1:36" s="58" customFormat="1" ht="16.2" customHeight="1" thickBot="1" x14ac:dyDescent="0.35">
      <c r="A3" s="511"/>
      <c r="B3" s="736" t="s">
        <v>67</v>
      </c>
      <c r="C3" s="737"/>
      <c r="D3" s="737"/>
      <c r="E3" s="737"/>
      <c r="F3" s="737"/>
      <c r="G3" s="736" t="s">
        <v>68</v>
      </c>
      <c r="H3" s="737"/>
      <c r="I3" s="737"/>
      <c r="J3" s="737"/>
      <c r="K3" s="737"/>
      <c r="L3" s="737"/>
      <c r="M3" s="737"/>
      <c r="N3" s="738"/>
      <c r="O3" s="733" t="s">
        <v>73</v>
      </c>
      <c r="P3" s="734"/>
      <c r="Q3" s="734"/>
      <c r="R3" s="734"/>
      <c r="S3" s="735"/>
      <c r="T3" s="733" t="s">
        <v>74</v>
      </c>
      <c r="U3" s="734"/>
      <c r="V3" s="734"/>
      <c r="W3" s="734"/>
      <c r="X3" s="735"/>
      <c r="Y3" s="737" t="s">
        <v>69</v>
      </c>
      <c r="Z3" s="737"/>
      <c r="AA3" s="737"/>
      <c r="AB3" s="737"/>
      <c r="AC3" s="738"/>
      <c r="AJ3" s="1"/>
    </row>
    <row r="4" spans="1:36" s="58" customFormat="1" ht="16.2" thickBot="1" x14ac:dyDescent="0.35">
      <c r="A4" s="512"/>
      <c r="B4" s="645" t="s">
        <v>52</v>
      </c>
      <c r="C4" s="645" t="s">
        <v>53</v>
      </c>
      <c r="D4" s="645" t="s">
        <v>54</v>
      </c>
      <c r="E4" s="650" t="s">
        <v>157</v>
      </c>
      <c r="F4" s="65" t="s">
        <v>51</v>
      </c>
      <c r="G4" s="645" t="s">
        <v>52</v>
      </c>
      <c r="H4" s="645" t="s">
        <v>53</v>
      </c>
      <c r="I4" s="645" t="s">
        <v>54</v>
      </c>
      <c r="J4" s="650" t="s">
        <v>157</v>
      </c>
      <c r="K4" s="645" t="s">
        <v>71</v>
      </c>
      <c r="L4" s="645" t="s">
        <v>72</v>
      </c>
      <c r="M4" s="653" t="s">
        <v>227</v>
      </c>
      <c r="N4" s="650" t="s">
        <v>51</v>
      </c>
      <c r="O4" s="645" t="s">
        <v>52</v>
      </c>
      <c r="P4" s="645" t="s">
        <v>53</v>
      </c>
      <c r="Q4" s="645" t="s">
        <v>54</v>
      </c>
      <c r="R4" s="650" t="s">
        <v>157</v>
      </c>
      <c r="S4" s="645" t="s">
        <v>51</v>
      </c>
      <c r="T4" s="645" t="s">
        <v>52</v>
      </c>
      <c r="U4" s="645" t="s">
        <v>53</v>
      </c>
      <c r="V4" s="645" t="s">
        <v>54</v>
      </c>
      <c r="W4" s="650" t="s">
        <v>157</v>
      </c>
      <c r="X4" s="645" t="s">
        <v>51</v>
      </c>
      <c r="Y4" s="63" t="s">
        <v>52</v>
      </c>
      <c r="Z4" s="645" t="s">
        <v>53</v>
      </c>
      <c r="AA4" s="645" t="s">
        <v>54</v>
      </c>
      <c r="AB4" s="650" t="s">
        <v>157</v>
      </c>
      <c r="AC4" s="645" t="s">
        <v>51</v>
      </c>
      <c r="AF4" s="41" t="s">
        <v>162</v>
      </c>
    </row>
    <row r="5" spans="1:36" x14ac:dyDescent="0.3">
      <c r="A5" s="347" t="s">
        <v>235</v>
      </c>
      <c r="B5" s="727">
        <v>777.71486816328286</v>
      </c>
      <c r="C5" s="726">
        <v>1098.9965669557278</v>
      </c>
      <c r="D5" s="726">
        <v>101.09753451488311</v>
      </c>
      <c r="E5" s="726">
        <v>1977.8089696338939</v>
      </c>
      <c r="F5" s="728">
        <v>4272.2781756947679</v>
      </c>
      <c r="G5" s="727">
        <v>777.71486816328286</v>
      </c>
      <c r="H5" s="726">
        <v>1098.9965669557282</v>
      </c>
      <c r="I5" s="726">
        <v>101.09753451488312</v>
      </c>
      <c r="J5" s="726">
        <v>1977.8089696338943</v>
      </c>
      <c r="K5" s="726">
        <v>220.34650318741575</v>
      </c>
      <c r="L5" s="726">
        <v>13413.68209140515</v>
      </c>
      <c r="M5" s="726">
        <v>6125.8798757512459</v>
      </c>
      <c r="N5" s="728">
        <v>13634.028594592566</v>
      </c>
      <c r="O5" s="590"/>
      <c r="P5" s="591"/>
      <c r="Q5" s="726">
        <v>7.0000000000000001E-3</v>
      </c>
      <c r="R5" s="726">
        <v>2.1000000000000001E-2</v>
      </c>
      <c r="S5" s="592"/>
      <c r="T5" s="590"/>
      <c r="U5" s="591"/>
      <c r="V5" s="591"/>
      <c r="W5" s="591"/>
      <c r="X5" s="728">
        <v>9361.7434188977968</v>
      </c>
      <c r="Y5" s="727">
        <v>83873.806859452685</v>
      </c>
      <c r="Z5" s="726">
        <v>83451.279891348648</v>
      </c>
      <c r="AA5" s="726">
        <v>85821.761016041899</v>
      </c>
      <c r="AB5" s="726">
        <v>83738.595456875773</v>
      </c>
      <c r="AC5" s="728">
        <v>7400.8825586847297</v>
      </c>
      <c r="AD5" s="58"/>
      <c r="AE5" s="58"/>
      <c r="AF5" s="58" t="s">
        <v>215</v>
      </c>
      <c r="AG5" s="58"/>
      <c r="AH5" s="58"/>
      <c r="AI5" s="58"/>
    </row>
    <row r="6" spans="1:36" x14ac:dyDescent="0.3">
      <c r="A6" s="347" t="s">
        <v>230</v>
      </c>
      <c r="B6" s="729">
        <v>932.54743291140869</v>
      </c>
      <c r="C6" s="443">
        <v>1534.4107120577901</v>
      </c>
      <c r="D6" s="443">
        <v>155.72134095532334</v>
      </c>
      <c r="E6" s="443">
        <v>2622.6794859245219</v>
      </c>
      <c r="F6" s="534">
        <v>5573.6790683270428</v>
      </c>
      <c r="G6" s="729">
        <v>932.54743291140903</v>
      </c>
      <c r="H6" s="443">
        <v>1534.4107120577896</v>
      </c>
      <c r="I6" s="443">
        <v>155.7213409553234</v>
      </c>
      <c r="J6" s="443">
        <v>2622.6794859245219</v>
      </c>
      <c r="K6" s="443">
        <v>251.48461990766447</v>
      </c>
      <c r="L6" s="443">
        <v>18499.659618849393</v>
      </c>
      <c r="M6" s="443">
        <v>8260.514366990923</v>
      </c>
      <c r="N6" s="534">
        <v>18751.144238757057</v>
      </c>
      <c r="O6" s="395"/>
      <c r="P6" s="442"/>
      <c r="Q6" s="443">
        <v>7.0000000000000001E-3</v>
      </c>
      <c r="R6" s="443">
        <v>2.1000000000000001E-2</v>
      </c>
      <c r="S6" s="441"/>
      <c r="T6" s="395"/>
      <c r="U6" s="442"/>
      <c r="V6" s="442"/>
      <c r="W6" s="442"/>
      <c r="X6" s="534">
        <v>13177.458170430011</v>
      </c>
      <c r="Y6" s="729">
        <v>115313.4235140845</v>
      </c>
      <c r="Z6" s="443">
        <v>95940.554967057309</v>
      </c>
      <c r="AA6" s="443">
        <v>93222.746699893571</v>
      </c>
      <c r="AB6" s="443">
        <v>102667.60574795702</v>
      </c>
      <c r="AC6" s="534">
        <v>8940.8079897800762</v>
      </c>
      <c r="AD6" s="58"/>
      <c r="AE6" s="58"/>
      <c r="AF6" s="58" t="s">
        <v>216</v>
      </c>
      <c r="AG6" s="58"/>
      <c r="AH6" s="58"/>
      <c r="AI6" s="58"/>
    </row>
    <row r="7" spans="1:36" x14ac:dyDescent="0.3">
      <c r="A7" s="347" t="s">
        <v>225</v>
      </c>
      <c r="B7" s="729">
        <v>706.51807184998381</v>
      </c>
      <c r="C7" s="443">
        <v>2356.9821070958869</v>
      </c>
      <c r="D7" s="443">
        <v>300.78532624680139</v>
      </c>
      <c r="E7" s="443">
        <v>3364.2855051926722</v>
      </c>
      <c r="F7" s="534">
        <v>7868.0961485161897</v>
      </c>
      <c r="G7" s="729">
        <v>706.51807184998404</v>
      </c>
      <c r="H7" s="443">
        <v>2356.9821070958869</v>
      </c>
      <c r="I7" s="443">
        <v>259.55218261667801</v>
      </c>
      <c r="J7" s="443">
        <v>3323.0523615625489</v>
      </c>
      <c r="K7" s="443">
        <v>334.58101313630647</v>
      </c>
      <c r="L7" s="443">
        <v>26367.747943211223</v>
      </c>
      <c r="M7" s="443">
        <v>11275.075268250617</v>
      </c>
      <c r="N7" s="534">
        <v>26702.32895634753</v>
      </c>
      <c r="O7" s="395"/>
      <c r="P7" s="442"/>
      <c r="Q7" s="443">
        <v>41.240143630123413</v>
      </c>
      <c r="R7" s="443">
        <v>41.254143630123416</v>
      </c>
      <c r="S7" s="441"/>
      <c r="T7" s="395"/>
      <c r="U7" s="442"/>
      <c r="V7" s="442"/>
      <c r="W7" s="442"/>
      <c r="X7" s="534">
        <v>18834.225807831343</v>
      </c>
      <c r="Y7" s="729">
        <v>221372.94862699095</v>
      </c>
      <c r="Z7" s="443">
        <v>94419.550606108125</v>
      </c>
      <c r="AA7" s="443">
        <v>89339.079101116557</v>
      </c>
      <c r="AB7" s="443">
        <v>121014.44376485437</v>
      </c>
      <c r="AC7" s="534">
        <v>10106.384697736697</v>
      </c>
      <c r="AD7" s="58"/>
      <c r="AE7" s="58"/>
      <c r="AF7" s="58" t="s">
        <v>217</v>
      </c>
      <c r="AG7" s="58"/>
      <c r="AH7" s="58"/>
      <c r="AI7" s="58"/>
    </row>
    <row r="8" spans="1:36" x14ac:dyDescent="0.3">
      <c r="A8" s="347" t="s">
        <v>256</v>
      </c>
      <c r="B8" s="729">
        <v>853.35966355828293</v>
      </c>
      <c r="C8" s="443">
        <v>1289.4790909238566</v>
      </c>
      <c r="D8" s="443">
        <v>124.31095178760195</v>
      </c>
      <c r="E8" s="443">
        <v>2267.1497062697413</v>
      </c>
      <c r="F8" s="534">
        <v>4849.0445636723334</v>
      </c>
      <c r="G8" s="729">
        <v>853.35966355828293</v>
      </c>
      <c r="H8" s="443">
        <v>1289.4790909238563</v>
      </c>
      <c r="I8" s="443">
        <v>124.31095178760198</v>
      </c>
      <c r="J8" s="443">
        <v>2267.1497062697413</v>
      </c>
      <c r="K8" s="443">
        <v>236.32957550408631</v>
      </c>
      <c r="L8" s="443">
        <v>15808.30462284283</v>
      </c>
      <c r="M8" s="443">
        <v>7075.0836912461673</v>
      </c>
      <c r="N8" s="534">
        <v>16044.634198346917</v>
      </c>
      <c r="O8" s="395"/>
      <c r="P8" s="442"/>
      <c r="Q8" s="443">
        <v>7.0000000000000001E-3</v>
      </c>
      <c r="R8" s="443">
        <v>2.0999999999999998E-2</v>
      </c>
      <c r="S8" s="441"/>
      <c r="T8" s="395"/>
      <c r="U8" s="442"/>
      <c r="V8" s="442"/>
      <c r="W8" s="442"/>
      <c r="X8" s="534">
        <v>11195.582634674583</v>
      </c>
      <c r="Y8" s="729">
        <v>99218.999015284193</v>
      </c>
      <c r="Z8" s="443">
        <v>91301.000851931123</v>
      </c>
      <c r="AA8" s="443">
        <v>91634.531509140637</v>
      </c>
      <c r="AB8" s="443">
        <v>94222.189695630324</v>
      </c>
      <c r="AC8" s="534">
        <v>8147.2458019741989</v>
      </c>
      <c r="AD8" s="58"/>
      <c r="AE8" s="58"/>
      <c r="AF8" s="55" t="s">
        <v>218</v>
      </c>
      <c r="AG8" s="58"/>
      <c r="AH8" s="58"/>
      <c r="AI8" s="58"/>
    </row>
    <row r="9" spans="1:36" x14ac:dyDescent="0.3">
      <c r="A9" s="347" t="s">
        <v>257</v>
      </c>
      <c r="B9" s="729">
        <v>827.32527384512639</v>
      </c>
      <c r="C9" s="443">
        <v>1904.8570873129331</v>
      </c>
      <c r="D9" s="443">
        <v>215.91489541617329</v>
      </c>
      <c r="E9" s="443">
        <v>2948.0972565742322</v>
      </c>
      <c r="F9" s="534">
        <v>6610.7587874054834</v>
      </c>
      <c r="G9" s="729">
        <v>827.32527384512639</v>
      </c>
      <c r="H9" s="443">
        <v>1904.8570873129331</v>
      </c>
      <c r="I9" s="443">
        <v>204.34520817991654</v>
      </c>
      <c r="J9" s="443">
        <v>2936.5275693379758</v>
      </c>
      <c r="K9" s="443">
        <v>287.93960386707096</v>
      </c>
      <c r="L9" s="443">
        <v>21947.560225516751</v>
      </c>
      <c r="M9" s="443">
        <v>9590.1735287248466</v>
      </c>
      <c r="N9" s="534">
        <v>22235.499829383825</v>
      </c>
      <c r="O9" s="395"/>
      <c r="P9" s="442"/>
      <c r="Q9" s="443">
        <v>11.576687236256788</v>
      </c>
      <c r="R9" s="443">
        <v>11.590687236256789</v>
      </c>
      <c r="S9" s="441"/>
      <c r="T9" s="395"/>
      <c r="U9" s="442"/>
      <c r="V9" s="442"/>
      <c r="W9" s="442"/>
      <c r="X9" s="534">
        <v>15624.734041978336</v>
      </c>
      <c r="Y9" s="729">
        <v>168410.91657839061</v>
      </c>
      <c r="Z9" s="443">
        <v>95544.760834279921</v>
      </c>
      <c r="AA9" s="443">
        <v>90705.688565971956</v>
      </c>
      <c r="AB9" s="443">
        <v>114092.15139067947</v>
      </c>
      <c r="AC9" s="534">
        <v>9596.874491249273</v>
      </c>
      <c r="AD9" s="58"/>
      <c r="AE9" s="58"/>
      <c r="AF9" s="55" t="s">
        <v>219</v>
      </c>
      <c r="AG9" s="58"/>
      <c r="AH9" s="58"/>
      <c r="AI9" s="58"/>
    </row>
    <row r="10" spans="1:36" x14ac:dyDescent="0.3">
      <c r="A10" s="347" t="s">
        <v>236</v>
      </c>
      <c r="B10" s="646">
        <f>(B6/B$5)^(1/6)*100-100</f>
        <v>3.0722496065552036</v>
      </c>
      <c r="C10" s="648">
        <f t="shared" ref="C10:N10" si="0">(C6/C$5)^(1/6)*100-100</f>
        <v>5.7200957167347894</v>
      </c>
      <c r="D10" s="648">
        <f t="shared" si="0"/>
        <v>7.4652190832348708</v>
      </c>
      <c r="E10" s="662">
        <f>(E6/E$5)^(1/6)*100-100</f>
        <v>4.8158143484772182</v>
      </c>
      <c r="F10" s="651">
        <f t="shared" si="0"/>
        <v>4.5314735688323822</v>
      </c>
      <c r="G10" s="646">
        <f t="shared" si="0"/>
        <v>3.0722496065552036</v>
      </c>
      <c r="H10" s="648">
        <f t="shared" si="0"/>
        <v>5.7200957167347752</v>
      </c>
      <c r="I10" s="648">
        <f t="shared" si="0"/>
        <v>7.4652190832348708</v>
      </c>
      <c r="J10" s="648">
        <f t="shared" si="0"/>
        <v>4.815814348477204</v>
      </c>
      <c r="K10" s="648">
        <f t="shared" si="0"/>
        <v>2.2274539548796497</v>
      </c>
      <c r="L10" s="648">
        <f t="shared" si="0"/>
        <v>5.5040880939580745</v>
      </c>
      <c r="M10" s="648">
        <f t="shared" si="0"/>
        <v>5.1089672861196505</v>
      </c>
      <c r="N10" s="651">
        <f t="shared" si="0"/>
        <v>5.4550209589340142</v>
      </c>
      <c r="O10" s="720"/>
      <c r="P10" s="381"/>
      <c r="Q10" s="442">
        <f>(Q6/Q$5)^(1/6)*100-100</f>
        <v>0</v>
      </c>
      <c r="R10" s="442">
        <f>(R6/R$5)^(1/6)*100-100</f>
        <v>0</v>
      </c>
      <c r="S10" s="707"/>
      <c r="T10" s="720"/>
      <c r="U10" s="381"/>
      <c r="V10" s="175"/>
      <c r="W10" s="175"/>
      <c r="X10" s="651">
        <f t="shared" ref="X10:AC10" si="1">(X6/X$5)^(1/6)*100-100</f>
        <v>5.8633952832892788</v>
      </c>
      <c r="Y10" s="646">
        <f t="shared" si="1"/>
        <v>5.4489480959563679</v>
      </c>
      <c r="Z10" s="648">
        <f t="shared" si="1"/>
        <v>2.3516552969034592</v>
      </c>
      <c r="AA10" s="648">
        <f t="shared" si="1"/>
        <v>1.388199838659915</v>
      </c>
      <c r="AB10" s="648">
        <f t="shared" si="1"/>
        <v>3.4549544107749028</v>
      </c>
      <c r="AC10" s="651">
        <f t="shared" si="1"/>
        <v>3.200596912753582</v>
      </c>
      <c r="AD10" s="58"/>
      <c r="AE10" s="58"/>
      <c r="AF10" s="58"/>
      <c r="AG10" s="58"/>
      <c r="AH10" s="58"/>
      <c r="AI10" s="58"/>
    </row>
    <row r="11" spans="1:36" x14ac:dyDescent="0.3">
      <c r="A11" s="347" t="s">
        <v>233</v>
      </c>
      <c r="B11" s="646">
        <f>(B7/B$6)^(1/5)*100-100</f>
        <v>-5.4001454145246726</v>
      </c>
      <c r="C11" s="648">
        <f t="shared" ref="C11:N11" si="2">(C7/C$6)^(1/5)*100-100</f>
        <v>8.9639737146436858</v>
      </c>
      <c r="D11" s="648">
        <f t="shared" si="2"/>
        <v>14.072695030815183</v>
      </c>
      <c r="E11" s="662">
        <f t="shared" si="2"/>
        <v>5.1064880245942419</v>
      </c>
      <c r="F11" s="651">
        <f t="shared" si="2"/>
        <v>7.1384946393874031</v>
      </c>
      <c r="G11" s="646">
        <f t="shared" si="2"/>
        <v>-5.4001454145246726</v>
      </c>
      <c r="H11" s="648">
        <f t="shared" si="2"/>
        <v>8.9639737146436858</v>
      </c>
      <c r="I11" s="648">
        <f t="shared" si="2"/>
        <v>10.758052321789307</v>
      </c>
      <c r="J11" s="648">
        <f t="shared" si="2"/>
        <v>4.8475756873181126</v>
      </c>
      <c r="K11" s="648">
        <f t="shared" si="2"/>
        <v>5.8761090007079702</v>
      </c>
      <c r="L11" s="648">
        <f t="shared" si="2"/>
        <v>7.3450098411270659</v>
      </c>
      <c r="M11" s="648">
        <f t="shared" si="2"/>
        <v>6.4198081784478092</v>
      </c>
      <c r="N11" s="651">
        <f t="shared" si="2"/>
        <v>7.3258343734986795</v>
      </c>
      <c r="O11" s="721" t="s">
        <v>75</v>
      </c>
      <c r="P11" s="581" t="s">
        <v>75</v>
      </c>
      <c r="Q11" s="581" t="s">
        <v>75</v>
      </c>
      <c r="R11" s="581" t="s">
        <v>75</v>
      </c>
      <c r="S11" s="708" t="s">
        <v>75</v>
      </c>
      <c r="T11" s="723" t="s">
        <v>75</v>
      </c>
      <c r="U11" s="584" t="s">
        <v>75</v>
      </c>
      <c r="V11" s="584" t="s">
        <v>75</v>
      </c>
      <c r="W11" s="584" t="s">
        <v>75</v>
      </c>
      <c r="X11" s="651">
        <f t="shared" ref="X11:AC11" si="3">(X7/X$6)^(1/5)*100-100</f>
        <v>7.4046849015613248</v>
      </c>
      <c r="Y11" s="646">
        <f t="shared" si="3"/>
        <v>13.932843567559843</v>
      </c>
      <c r="Z11" s="648">
        <f t="shared" si="3"/>
        <v>-0.31910228282069397</v>
      </c>
      <c r="AA11" s="648">
        <f t="shared" si="3"/>
        <v>-0.84744372209370056</v>
      </c>
      <c r="AB11" s="648">
        <f t="shared" si="3"/>
        <v>3.3429262771415864</v>
      </c>
      <c r="AC11" s="651">
        <f t="shared" si="3"/>
        <v>2.481107817718069</v>
      </c>
      <c r="AD11" s="58"/>
      <c r="AE11" s="58"/>
      <c r="AF11" s="58"/>
      <c r="AG11" s="58"/>
      <c r="AH11" s="58"/>
      <c r="AI11" s="58"/>
    </row>
    <row r="12" spans="1:36" x14ac:dyDescent="0.3">
      <c r="A12" s="347" t="s">
        <v>237</v>
      </c>
      <c r="B12" s="646">
        <f>(B41/B$35)^(1/6)*100-100</f>
        <v>3.5959834915752111</v>
      </c>
      <c r="C12" s="648">
        <f t="shared" ref="C12:N12" si="4">(C41/C$35)^(1/6)*100-100</f>
        <v>6.125017857647677</v>
      </c>
      <c r="D12" s="648">
        <f t="shared" si="4"/>
        <v>6.6276300251991955</v>
      </c>
      <c r="E12" s="661">
        <f>(E41/E$35)^(1/6)*100-100</f>
        <v>5.3301564232143477</v>
      </c>
      <c r="F12" s="651">
        <f t="shared" si="4"/>
        <v>4.5174296212677945</v>
      </c>
      <c r="G12" s="646">
        <f t="shared" si="4"/>
        <v>3.5959834915752111</v>
      </c>
      <c r="H12" s="648">
        <f t="shared" si="4"/>
        <v>6.125017857647677</v>
      </c>
      <c r="I12" s="648">
        <f t="shared" si="4"/>
        <v>6.6276300251991671</v>
      </c>
      <c r="J12" s="648">
        <f t="shared" si="4"/>
        <v>5.3301564232143477</v>
      </c>
      <c r="K12" s="648">
        <f t="shared" si="4"/>
        <v>3.2309858999570906</v>
      </c>
      <c r="L12" s="648">
        <f t="shared" si="4"/>
        <v>5.8739321682313062</v>
      </c>
      <c r="M12" s="648">
        <f t="shared" si="4"/>
        <v>5.5739011838667523</v>
      </c>
      <c r="N12" s="651">
        <f t="shared" si="4"/>
        <v>5.8249585332700775</v>
      </c>
      <c r="O12" s="721" t="s">
        <v>75</v>
      </c>
      <c r="P12" s="581" t="s">
        <v>75</v>
      </c>
      <c r="Q12" s="581" t="s">
        <v>75</v>
      </c>
      <c r="R12" s="581" t="s">
        <v>75</v>
      </c>
      <c r="S12" s="708" t="s">
        <v>75</v>
      </c>
      <c r="T12" s="723" t="s">
        <v>75</v>
      </c>
      <c r="U12" s="584" t="s">
        <v>75</v>
      </c>
      <c r="V12" s="584" t="s">
        <v>75</v>
      </c>
      <c r="W12" s="584" t="s">
        <v>75</v>
      </c>
      <c r="X12" s="651">
        <f t="shared" ref="X12:AC12" si="5">(X41/X$35)^(1/6)*100-100</f>
        <v>6.4833564951519236</v>
      </c>
      <c r="Y12" s="646">
        <f t="shared" si="5"/>
        <v>5.9090230581267775</v>
      </c>
      <c r="Z12" s="648">
        <f t="shared" si="5"/>
        <v>2.8329014605174478</v>
      </c>
      <c r="AA12" s="648">
        <f t="shared" si="5"/>
        <v>0.39560552993467013</v>
      </c>
      <c r="AB12" s="648">
        <f t="shared" si="5"/>
        <v>3.7201330263714567</v>
      </c>
      <c r="AC12" s="651">
        <f t="shared" si="5"/>
        <v>3.1982961913667793</v>
      </c>
      <c r="AD12" s="58"/>
      <c r="AE12" s="58"/>
      <c r="AG12" s="58"/>
      <c r="AH12" s="58"/>
      <c r="AI12" s="58"/>
    </row>
    <row r="13" spans="1:36" ht="16.2" thickBot="1" x14ac:dyDescent="0.35">
      <c r="A13" s="349" t="s">
        <v>234</v>
      </c>
      <c r="B13" s="647">
        <f>(B46/B$41)^(1/5)*100-100</f>
        <v>-5.4336501851397543</v>
      </c>
      <c r="C13" s="649">
        <f t="shared" ref="C13:N13" si="6">(C46/C$41)^(1/5)*100-100</f>
        <v>8.9642024536377534</v>
      </c>
      <c r="D13" s="649">
        <f t="shared" si="6"/>
        <v>13.430226496503451</v>
      </c>
      <c r="E13" s="696">
        <f>(E46/E$41)^(1/5)*100-100</f>
        <v>5.6947162167413836</v>
      </c>
      <c r="F13" s="652">
        <f t="shared" si="6"/>
        <v>7.0750752712614116</v>
      </c>
      <c r="G13" s="647">
        <f t="shared" si="6"/>
        <v>-5.4336501851397401</v>
      </c>
      <c r="H13" s="649">
        <f t="shared" si="6"/>
        <v>8.9642024536377534</v>
      </c>
      <c r="I13" s="649">
        <f t="shared" si="6"/>
        <v>11.39705489147984</v>
      </c>
      <c r="J13" s="649">
        <f t="shared" si="6"/>
        <v>5.5128770730534171</v>
      </c>
      <c r="K13" s="649">
        <f t="shared" si="6"/>
        <v>7.1782024753267422</v>
      </c>
      <c r="L13" s="649">
        <f t="shared" si="6"/>
        <v>7.8107651539871341</v>
      </c>
      <c r="M13" s="649">
        <f t="shared" si="6"/>
        <v>6.8738983724854279</v>
      </c>
      <c r="N13" s="652">
        <f t="shared" si="6"/>
        <v>7.8001521301012957</v>
      </c>
      <c r="O13" s="722" t="s">
        <v>75</v>
      </c>
      <c r="P13" s="582" t="s">
        <v>75</v>
      </c>
      <c r="Q13" s="582" t="s">
        <v>75</v>
      </c>
      <c r="R13" s="582" t="s">
        <v>75</v>
      </c>
      <c r="S13" s="709" t="s">
        <v>75</v>
      </c>
      <c r="T13" s="724" t="s">
        <v>75</v>
      </c>
      <c r="U13" s="583" t="s">
        <v>75</v>
      </c>
      <c r="V13" s="583" t="s">
        <v>75</v>
      </c>
      <c r="W13" s="583" t="s">
        <v>75</v>
      </c>
      <c r="X13" s="652">
        <f t="shared" ref="X13:AC13" si="7">(X46/X$41)^(1/5)*100-100</f>
        <v>8.1354882099757617</v>
      </c>
      <c r="Y13" s="647">
        <f t="shared" si="7"/>
        <v>13.933632978417137</v>
      </c>
      <c r="Z13" s="649">
        <f t="shared" si="7"/>
        <v>-0.39659896543173545</v>
      </c>
      <c r="AA13" s="649">
        <f t="shared" si="7"/>
        <v>-1.5846123729032371</v>
      </c>
      <c r="AB13" s="649">
        <f t="shared" si="7"/>
        <v>2.61664365608803</v>
      </c>
      <c r="AC13" s="652">
        <f t="shared" si="7"/>
        <v>2.4893141445562179</v>
      </c>
      <c r="AD13" s="58"/>
      <c r="AE13" s="58"/>
      <c r="AG13" s="58"/>
      <c r="AH13" s="58"/>
      <c r="AI13" s="58"/>
    </row>
    <row r="14" spans="1:36" x14ac:dyDescent="0.3">
      <c r="A14" s="348" t="s">
        <v>163</v>
      </c>
      <c r="B14" s="174"/>
      <c r="C14" s="175"/>
      <c r="D14" s="175"/>
      <c r="E14" s="175"/>
      <c r="F14" s="411"/>
      <c r="G14" s="175"/>
      <c r="H14" s="175"/>
      <c r="I14" s="175"/>
      <c r="J14" s="175"/>
      <c r="K14" s="175"/>
      <c r="L14" s="175"/>
      <c r="M14" s="363"/>
      <c r="N14" s="411"/>
      <c r="O14" s="692"/>
      <c r="P14" s="693"/>
      <c r="Q14" s="694"/>
      <c r="R14" s="694"/>
      <c r="S14" s="695"/>
      <c r="T14" s="692"/>
      <c r="U14" s="693"/>
      <c r="V14" s="693"/>
      <c r="W14" s="693"/>
      <c r="X14" s="695"/>
      <c r="Y14" s="692"/>
      <c r="Z14" s="693"/>
      <c r="AA14" s="693"/>
      <c r="AB14" s="693"/>
      <c r="AC14" s="695"/>
      <c r="AD14" s="58"/>
      <c r="AE14" s="58"/>
      <c r="AF14" s="58"/>
      <c r="AG14" s="58"/>
      <c r="AH14" s="58"/>
      <c r="AI14" s="58"/>
    </row>
    <row r="15" spans="1:36" x14ac:dyDescent="0.3">
      <c r="A15" s="347" t="s">
        <v>238</v>
      </c>
      <c r="B15" s="570">
        <f t="shared" ref="B15:N15" si="8">B35/B5*100-100</f>
        <v>-27.810723982680912</v>
      </c>
      <c r="C15" s="569">
        <f t="shared" si="8"/>
        <v>-11.040501308822172</v>
      </c>
      <c r="D15" s="569">
        <f t="shared" si="8"/>
        <v>5.3320216028380827</v>
      </c>
      <c r="E15" s="711">
        <f>E35/E5*100-100</f>
        <v>-16.797998615460187</v>
      </c>
      <c r="F15" s="571">
        <f t="shared" si="8"/>
        <v>2.129010976879016</v>
      </c>
      <c r="G15" s="569">
        <f t="shared" si="8"/>
        <v>-27.810723982680912</v>
      </c>
      <c r="H15" s="569">
        <f t="shared" si="8"/>
        <v>-11.040501308822215</v>
      </c>
      <c r="I15" s="569">
        <f t="shared" si="8"/>
        <v>5.3320216028381253</v>
      </c>
      <c r="J15" s="711">
        <f t="shared" si="8"/>
        <v>-16.797998615460216</v>
      </c>
      <c r="K15" s="569">
        <f t="shared" si="8"/>
        <v>12.952295155844283</v>
      </c>
      <c r="L15" s="569">
        <f t="shared" si="8"/>
        <v>-7.6581200304932935</v>
      </c>
      <c r="M15" s="569">
        <f t="shared" si="8"/>
        <v>-14.835600276333921</v>
      </c>
      <c r="N15" s="569">
        <f t="shared" si="8"/>
        <v>-7.325024578621381</v>
      </c>
      <c r="O15" s="575" t="s">
        <v>75</v>
      </c>
      <c r="P15" s="568" t="s">
        <v>75</v>
      </c>
      <c r="Q15" s="697">
        <f>Q35/Q5*100-100</f>
        <v>0</v>
      </c>
      <c r="R15" s="697">
        <f>R35/R5*100-100</f>
        <v>0</v>
      </c>
      <c r="S15" s="578" t="s">
        <v>75</v>
      </c>
      <c r="T15" s="575" t="s">
        <v>75</v>
      </c>
      <c r="U15" s="568" t="s">
        <v>75</v>
      </c>
      <c r="V15" s="568" t="s">
        <v>75</v>
      </c>
      <c r="W15" s="568" t="s">
        <v>75</v>
      </c>
      <c r="X15" s="571">
        <f t="shared" ref="X15:AC15" si="9">X35/X5*100-100</f>
        <v>-11.639426207023845</v>
      </c>
      <c r="Y15" s="570">
        <f t="shared" si="9"/>
        <v>43.790230597871584</v>
      </c>
      <c r="Z15" s="569">
        <f t="shared" si="9"/>
        <v>14.192411886149415</v>
      </c>
      <c r="AA15" s="569">
        <f t="shared" si="9"/>
        <v>10.960651062867981</v>
      </c>
      <c r="AB15" s="711">
        <f>AB35/AB5*100-100</f>
        <v>24.10632584859485</v>
      </c>
      <c r="AC15" s="571">
        <f t="shared" si="9"/>
        <v>0.27193950241517939</v>
      </c>
      <c r="AD15" s="58"/>
      <c r="AE15" s="58"/>
      <c r="AF15" s="58"/>
      <c r="AG15" s="58"/>
      <c r="AH15" s="58"/>
      <c r="AI15" s="58"/>
    </row>
    <row r="16" spans="1:36" x14ac:dyDescent="0.3">
      <c r="A16" s="347" t="s">
        <v>254</v>
      </c>
      <c r="B16" s="570">
        <f t="shared" ref="B16:N16" si="10">B41/B6*100-100</f>
        <v>-25.581713906252105</v>
      </c>
      <c r="C16" s="569">
        <f t="shared" si="10"/>
        <v>-8.9764647692873467</v>
      </c>
      <c r="D16" s="569">
        <f t="shared" si="10"/>
        <v>0.50123245434383534</v>
      </c>
      <c r="E16" s="569">
        <f t="shared" si="10"/>
        <v>-14.318064003918948</v>
      </c>
      <c r="F16" s="571">
        <f t="shared" si="10"/>
        <v>2.0467115833822618</v>
      </c>
      <c r="G16" s="570">
        <f t="shared" si="10"/>
        <v>-25.581713906252133</v>
      </c>
      <c r="H16" s="569">
        <f t="shared" si="10"/>
        <v>-8.9764647692873467</v>
      </c>
      <c r="I16" s="569">
        <f t="shared" si="10"/>
        <v>0.50123245434379271</v>
      </c>
      <c r="J16" s="569">
        <f t="shared" si="10"/>
        <v>-14.318064003918991</v>
      </c>
      <c r="K16" s="569">
        <f t="shared" si="10"/>
        <v>19.770604984687765</v>
      </c>
      <c r="L16" s="569">
        <f t="shared" si="10"/>
        <v>-5.6987950198462016</v>
      </c>
      <c r="M16" s="569">
        <f t="shared" si="10"/>
        <v>-12.550185022218884</v>
      </c>
      <c r="N16" s="569">
        <f t="shared" si="10"/>
        <v>-5.3572072053715232</v>
      </c>
      <c r="O16" s="575" t="s">
        <v>75</v>
      </c>
      <c r="P16" s="568" t="s">
        <v>75</v>
      </c>
      <c r="Q16" s="697">
        <f>Q41/Q6*100-100</f>
        <v>0</v>
      </c>
      <c r="R16" s="697">
        <f>R41/R6*100-100</f>
        <v>0</v>
      </c>
      <c r="S16" s="578" t="s">
        <v>75</v>
      </c>
      <c r="T16" s="575" t="s">
        <v>75</v>
      </c>
      <c r="U16" s="568" t="s">
        <v>75</v>
      </c>
      <c r="V16" s="568" t="s">
        <v>75</v>
      </c>
      <c r="W16" s="568" t="s">
        <v>75</v>
      </c>
      <c r="X16" s="569">
        <f t="shared" ref="X16:AC16" si="11">X41/X6*100-100</f>
        <v>-8.4888509672559707</v>
      </c>
      <c r="Y16" s="570">
        <f>Y41/Y6*100-100</f>
        <v>47.595678293560383</v>
      </c>
      <c r="Z16" s="569">
        <f t="shared" si="11"/>
        <v>17.452038759705516</v>
      </c>
      <c r="AA16" s="569">
        <f t="shared" si="11"/>
        <v>4.6002552302291804</v>
      </c>
      <c r="AB16" s="569">
        <f t="shared" si="11"/>
        <v>26.027275373285192</v>
      </c>
      <c r="AC16" s="571">
        <f t="shared" si="11"/>
        <v>0.25852766497050084</v>
      </c>
      <c r="AD16" s="58"/>
      <c r="AE16" s="58"/>
      <c r="AF16" s="58"/>
      <c r="AG16" s="58"/>
      <c r="AH16" s="58"/>
      <c r="AI16" s="58"/>
    </row>
    <row r="17" spans="1:43" x14ac:dyDescent="0.3">
      <c r="A17" s="347" t="s">
        <v>255</v>
      </c>
      <c r="B17" s="570">
        <f t="shared" ref="B17:N17" si="12">B46/B7*100-100</f>
        <v>-25.713405549518214</v>
      </c>
      <c r="C17" s="569">
        <f t="shared" si="12"/>
        <v>-8.975509374646748</v>
      </c>
      <c r="D17" s="569">
        <f t="shared" si="12"/>
        <v>-2.2972307469560747</v>
      </c>
      <c r="E17" s="569">
        <f t="shared" si="12"/>
        <v>-11.893483458994339</v>
      </c>
      <c r="F17" s="571">
        <f t="shared" si="12"/>
        <v>1.7450421980813644</v>
      </c>
      <c r="G17" s="569">
        <f t="shared" si="12"/>
        <v>-25.7134055495182</v>
      </c>
      <c r="H17" s="569">
        <f t="shared" si="12"/>
        <v>-8.975509374646748</v>
      </c>
      <c r="I17" s="569">
        <f t="shared" si="12"/>
        <v>3.4340149613327782</v>
      </c>
      <c r="J17" s="569">
        <f t="shared" si="12"/>
        <v>-11.564907936398882</v>
      </c>
      <c r="K17" s="569">
        <f t="shared" si="12"/>
        <v>27.318855686990219</v>
      </c>
      <c r="L17" s="569">
        <f t="shared" si="12"/>
        <v>-3.6351647915064547</v>
      </c>
      <c r="M17" s="569">
        <f t="shared" si="12"/>
        <v>-10.668465964431974</v>
      </c>
      <c r="N17" s="569">
        <f t="shared" si="12"/>
        <v>-3.2473099512313439</v>
      </c>
      <c r="O17" s="575" t="s">
        <v>75</v>
      </c>
      <c r="P17" s="568" t="s">
        <v>75</v>
      </c>
      <c r="Q17" s="697">
        <f>Q46/Q7*100-100</f>
        <v>-38.36745556055385</v>
      </c>
      <c r="R17" s="697">
        <f>R46/R7*100-100</f>
        <v>-38.35443518658456</v>
      </c>
      <c r="S17" s="578" t="s">
        <v>75</v>
      </c>
      <c r="T17" s="575" t="s">
        <v>75</v>
      </c>
      <c r="U17" s="568" t="s">
        <v>75</v>
      </c>
      <c r="V17" s="568" t="s">
        <v>75</v>
      </c>
      <c r="W17" s="568" t="s">
        <v>75</v>
      </c>
      <c r="X17" s="571">
        <f t="shared" ref="X17:AC17" si="13">X46/X7*100-100</f>
        <v>-5.3328923292912407</v>
      </c>
      <c r="Y17" s="570">
        <f t="shared" si="13"/>
        <v>47.600791623566266</v>
      </c>
      <c r="Z17" s="569">
        <f t="shared" si="13"/>
        <v>16.996184042489119</v>
      </c>
      <c r="AA17" s="569">
        <f t="shared" si="13"/>
        <v>0.76929132571589776</v>
      </c>
      <c r="AB17" s="569">
        <f t="shared" si="13"/>
        <v>21.660557312591038</v>
      </c>
      <c r="AC17" s="571">
        <f t="shared" si="13"/>
        <v>0.29867584647142564</v>
      </c>
      <c r="AD17" s="58"/>
      <c r="AE17" s="58"/>
      <c r="AF17" s="58"/>
      <c r="AG17" s="58"/>
      <c r="AH17" s="58"/>
      <c r="AI17" s="58"/>
    </row>
    <row r="18" spans="1:43" x14ac:dyDescent="0.3">
      <c r="A18" s="347" t="s">
        <v>258</v>
      </c>
      <c r="B18" s="570">
        <f t="shared" ref="B18:N18" si="14">AVERAGE(B35:B41)/B8*100-100</f>
        <v>-25.825241926807635</v>
      </c>
      <c r="C18" s="569">
        <f t="shared" si="14"/>
        <v>-9.225757881791381</v>
      </c>
      <c r="D18" s="569">
        <f>AVERAGE(D35:D41)/D8*100-100</f>
        <v>1.0569181086640782</v>
      </c>
      <c r="E18" s="569">
        <f>AVERAGE(E35:E41)/E8*100-100</f>
        <v>-14.910023391457628</v>
      </c>
      <c r="F18" s="571">
        <f t="shared" si="14"/>
        <v>2.0545542236920511</v>
      </c>
      <c r="G18" s="569">
        <f t="shared" si="14"/>
        <v>-25.825241926807621</v>
      </c>
      <c r="H18" s="569">
        <f t="shared" si="14"/>
        <v>-9.2257578817913668</v>
      </c>
      <c r="I18" s="569">
        <f t="shared" si="14"/>
        <v>1.056918108664064</v>
      </c>
      <c r="J18" s="569">
        <f t="shared" si="14"/>
        <v>-14.910023391457642</v>
      </c>
      <c r="K18" s="569">
        <f t="shared" si="14"/>
        <v>17.123120580939059</v>
      </c>
      <c r="L18" s="569">
        <f t="shared" si="14"/>
        <v>-6.2805048308556763</v>
      </c>
      <c r="M18" s="569">
        <f t="shared" si="14"/>
        <v>-13.082421187284041</v>
      </c>
      <c r="N18" s="569">
        <f t="shared" si="14"/>
        <v>-5.935780931859199</v>
      </c>
      <c r="O18" s="575" t="s">
        <v>75</v>
      </c>
      <c r="P18" s="568" t="s">
        <v>75</v>
      </c>
      <c r="Q18" s="697">
        <f>AVERAGE(Q35:Q41)/Q8*100-100</f>
        <v>0</v>
      </c>
      <c r="R18" s="697">
        <f>AVERAGE(R35:R41)/R8*100-100</f>
        <v>0</v>
      </c>
      <c r="S18" s="578" t="s">
        <v>75</v>
      </c>
      <c r="T18" s="575" t="s">
        <v>75</v>
      </c>
      <c r="U18" s="568" t="s">
        <v>75</v>
      </c>
      <c r="V18" s="568" t="s">
        <v>75</v>
      </c>
      <c r="W18" s="568" t="s">
        <v>75</v>
      </c>
      <c r="X18" s="571">
        <f t="shared" ref="X18:AC18" si="15">AVERAGE(X35:X41)/X8*100-100</f>
        <v>-9.396568464114182</v>
      </c>
      <c r="Y18" s="570">
        <f t="shared" si="15"/>
        <v>47.109365901677819</v>
      </c>
      <c r="Z18" s="569">
        <f t="shared" si="15"/>
        <v>17.017794459643625</v>
      </c>
      <c r="AA18" s="569">
        <f t="shared" si="15"/>
        <v>5.4500782063412316</v>
      </c>
      <c r="AB18" s="569">
        <f t="shared" si="15"/>
        <v>26.220694666398828</v>
      </c>
      <c r="AC18" s="571">
        <f t="shared" si="15"/>
        <v>0.28565542815644562</v>
      </c>
      <c r="AD18" s="58"/>
      <c r="AE18" s="58"/>
      <c r="AF18" s="58"/>
      <c r="AG18" s="58"/>
      <c r="AH18" s="58"/>
      <c r="AI18" s="58"/>
    </row>
    <row r="19" spans="1:43" x14ac:dyDescent="0.3">
      <c r="A19" s="347" t="s">
        <v>259</v>
      </c>
      <c r="B19" s="570">
        <f t="shared" ref="B19:N19" si="16">AVERAGE(B41:B46)/B9*100-100</f>
        <v>-25.656258878983948</v>
      </c>
      <c r="C19" s="569">
        <f t="shared" si="16"/>
        <v>-8.9766202643934605</v>
      </c>
      <c r="D19" s="569">
        <f t="shared" si="16"/>
        <v>-0.9959799453468321</v>
      </c>
      <c r="E19" s="569">
        <f t="shared" si="16"/>
        <v>-13.072939487812079</v>
      </c>
      <c r="F19" s="571">
        <f t="shared" si="16"/>
        <v>2.0651086752710768</v>
      </c>
      <c r="G19" s="569">
        <f t="shared" si="16"/>
        <v>-25.656258878983977</v>
      </c>
      <c r="H19" s="569">
        <f t="shared" si="16"/>
        <v>-8.9766202643934605</v>
      </c>
      <c r="I19" s="569">
        <f t="shared" si="16"/>
        <v>2.0012155253026833</v>
      </c>
      <c r="J19" s="569">
        <f t="shared" si="16"/>
        <v>-12.911954829377208</v>
      </c>
      <c r="K19" s="569">
        <f t="shared" si="16"/>
        <v>23.612271797992506</v>
      </c>
      <c r="L19" s="569">
        <f t="shared" si="16"/>
        <v>-4.6308156390158217</v>
      </c>
      <c r="M19" s="569">
        <f t="shared" si="16"/>
        <v>-11.553020366932913</v>
      </c>
      <c r="N19" s="569">
        <f t="shared" si="16"/>
        <v>-4.2650805095608746</v>
      </c>
      <c r="O19" s="575" t="s">
        <v>75</v>
      </c>
      <c r="P19" s="568" t="s">
        <v>75</v>
      </c>
      <c r="Q19" s="697">
        <f>AVERAGE(Q41:Q46)/Q9*100-100</f>
        <v>-53.900195810143416</v>
      </c>
      <c r="R19" s="697">
        <f>AVERAGE(R41:R46)/R9*100-100</f>
        <v>-53.835091582416396</v>
      </c>
      <c r="S19" s="578" t="s">
        <v>75</v>
      </c>
      <c r="T19" s="575" t="s">
        <v>75</v>
      </c>
      <c r="U19" s="568" t="s">
        <v>75</v>
      </c>
      <c r="V19" s="568" t="s">
        <v>75</v>
      </c>
      <c r="W19" s="568" t="s">
        <v>75</v>
      </c>
      <c r="X19" s="571">
        <f t="shared" ref="X19:AC19" si="17">AVERAGE(X41:X46)/X9*100-100</f>
        <v>-6.943358650020798</v>
      </c>
      <c r="Y19" s="570">
        <f t="shared" si="17"/>
        <v>47.574610512157335</v>
      </c>
      <c r="Z19" s="569">
        <f t="shared" si="17"/>
        <v>17.248985374784496</v>
      </c>
      <c r="AA19" s="569">
        <f t="shared" si="17"/>
        <v>2.9681726211594253</v>
      </c>
      <c r="AB19" s="569">
        <f t="shared" si="17"/>
        <v>23.849341862966853</v>
      </c>
      <c r="AC19" s="571">
        <f t="shared" si="17"/>
        <v>0.314198582746954</v>
      </c>
      <c r="AD19" s="58"/>
      <c r="AE19" s="58"/>
      <c r="AF19" s="58"/>
      <c r="AG19" s="58"/>
      <c r="AH19" s="58"/>
      <c r="AI19" s="58"/>
    </row>
    <row r="20" spans="1:43" x14ac:dyDescent="0.3">
      <c r="A20" s="347" t="s">
        <v>260</v>
      </c>
      <c r="B20" s="570">
        <f>B12-B10</f>
        <v>0.52373388502000751</v>
      </c>
      <c r="C20" s="569">
        <f t="shared" ref="C20:N20" si="18">C12-C10</f>
        <v>0.40492214091288758</v>
      </c>
      <c r="D20" s="569">
        <f t="shared" si="18"/>
        <v>-0.83758905803567529</v>
      </c>
      <c r="E20" s="569">
        <f t="shared" si="18"/>
        <v>0.51434207473712945</v>
      </c>
      <c r="F20" s="571">
        <f t="shared" si="18"/>
        <v>-1.4043947564587711E-2</v>
      </c>
      <c r="G20" s="569">
        <f t="shared" si="18"/>
        <v>0.52373388502000751</v>
      </c>
      <c r="H20" s="569">
        <f t="shared" si="18"/>
        <v>0.4049221409129018</v>
      </c>
      <c r="I20" s="569">
        <f t="shared" si="18"/>
        <v>-0.83758905803570372</v>
      </c>
      <c r="J20" s="569">
        <f t="shared" si="18"/>
        <v>0.51434207473714366</v>
      </c>
      <c r="K20" s="569">
        <f t="shared" si="18"/>
        <v>1.0035319450774409</v>
      </c>
      <c r="L20" s="569">
        <f t="shared" si="18"/>
        <v>0.36984407427323163</v>
      </c>
      <c r="M20" s="569">
        <f t="shared" si="18"/>
        <v>0.46493389774710181</v>
      </c>
      <c r="N20" s="569">
        <f t="shared" si="18"/>
        <v>0.36993757433606334</v>
      </c>
      <c r="O20" s="575" t="s">
        <v>75</v>
      </c>
      <c r="P20" s="568" t="s">
        <v>75</v>
      </c>
      <c r="Q20" s="568" t="s">
        <v>75</v>
      </c>
      <c r="R20" s="568" t="s">
        <v>75</v>
      </c>
      <c r="S20" s="578" t="s">
        <v>75</v>
      </c>
      <c r="T20" s="575" t="s">
        <v>75</v>
      </c>
      <c r="U20" s="568" t="s">
        <v>75</v>
      </c>
      <c r="V20" s="568" t="s">
        <v>75</v>
      </c>
      <c r="W20" s="568" t="s">
        <v>75</v>
      </c>
      <c r="X20" s="571">
        <f t="shared" ref="X20:AC20" si="19">X12-X10</f>
        <v>0.61996121186264475</v>
      </c>
      <c r="Y20" s="570">
        <f t="shared" si="19"/>
        <v>0.46007496217040966</v>
      </c>
      <c r="Z20" s="569">
        <f t="shared" si="19"/>
        <v>0.48124616361398864</v>
      </c>
      <c r="AA20" s="569">
        <f t="shared" si="19"/>
        <v>-0.9925943087252449</v>
      </c>
      <c r="AB20" s="569">
        <f t="shared" si="19"/>
        <v>0.26517861559655387</v>
      </c>
      <c r="AC20" s="571">
        <f t="shared" si="19"/>
        <v>-2.3007213868027065E-3</v>
      </c>
      <c r="AD20" s="58"/>
      <c r="AE20" s="58"/>
      <c r="AF20" s="58"/>
      <c r="AG20" s="58"/>
      <c r="AH20" s="58"/>
      <c r="AI20" s="58"/>
    </row>
    <row r="21" spans="1:43" ht="16.2" thickBot="1" x14ac:dyDescent="0.35">
      <c r="A21" s="349" t="s">
        <v>261</v>
      </c>
      <c r="B21" s="572">
        <f>B13-B11</f>
        <v>-3.3504770615081725E-2</v>
      </c>
      <c r="C21" s="573">
        <f t="shared" ref="C21:N21" si="20">C13-C11</f>
        <v>2.2873899406761211E-4</v>
      </c>
      <c r="D21" s="573">
        <f t="shared" si="20"/>
        <v>-0.64246853431173179</v>
      </c>
      <c r="E21" s="573">
        <f t="shared" si="20"/>
        <v>0.58822819214714173</v>
      </c>
      <c r="F21" s="574">
        <f t="shared" si="20"/>
        <v>-6.3419368125991582E-2</v>
      </c>
      <c r="G21" s="569">
        <f t="shared" si="20"/>
        <v>-3.3504770615067514E-2</v>
      </c>
      <c r="H21" s="569">
        <f t="shared" si="20"/>
        <v>2.2873899406761211E-4</v>
      </c>
      <c r="I21" s="569">
        <f t="shared" si="20"/>
        <v>0.6390025696905326</v>
      </c>
      <c r="J21" s="569">
        <f t="shared" si="20"/>
        <v>0.66530138573530451</v>
      </c>
      <c r="K21" s="569">
        <f t="shared" si="20"/>
        <v>1.302093474618772</v>
      </c>
      <c r="L21" s="569">
        <f t="shared" si="20"/>
        <v>0.46575531286006822</v>
      </c>
      <c r="M21" s="569">
        <f t="shared" si="20"/>
        <v>0.45409019403761874</v>
      </c>
      <c r="N21" s="569">
        <f t="shared" si="20"/>
        <v>0.47431775660261621</v>
      </c>
      <c r="O21" s="576" t="s">
        <v>75</v>
      </c>
      <c r="P21" s="577" t="s">
        <v>75</v>
      </c>
      <c r="Q21" s="577" t="s">
        <v>75</v>
      </c>
      <c r="R21" s="577" t="s">
        <v>75</v>
      </c>
      <c r="S21" s="579" t="s">
        <v>75</v>
      </c>
      <c r="T21" s="576" t="s">
        <v>75</v>
      </c>
      <c r="U21" s="577" t="s">
        <v>75</v>
      </c>
      <c r="V21" s="577" t="s">
        <v>75</v>
      </c>
      <c r="W21" s="577" t="s">
        <v>75</v>
      </c>
      <c r="X21" s="574">
        <f t="shared" ref="X21:AC21" si="21">X13-X11</f>
        <v>0.73080330841443697</v>
      </c>
      <c r="Y21" s="572">
        <f t="shared" si="21"/>
        <v>7.8941085729411498E-4</v>
      </c>
      <c r="Z21" s="573">
        <f t="shared" si="21"/>
        <v>-7.7496682611041479E-2</v>
      </c>
      <c r="AA21" s="573">
        <f t="shared" si="21"/>
        <v>-0.73716865080953653</v>
      </c>
      <c r="AB21" s="573">
        <f t="shared" si="21"/>
        <v>-0.72628262105355645</v>
      </c>
      <c r="AC21" s="574">
        <f t="shared" si="21"/>
        <v>8.2063268381489252E-3</v>
      </c>
      <c r="AD21" s="58"/>
      <c r="AE21" s="58"/>
      <c r="AF21" s="58"/>
      <c r="AG21" s="58"/>
      <c r="AH21" s="58"/>
      <c r="AI21" s="58"/>
    </row>
    <row r="22" spans="1:43" x14ac:dyDescent="0.3">
      <c r="A22" s="348" t="s">
        <v>262</v>
      </c>
      <c r="B22" s="654"/>
      <c r="C22" s="265"/>
      <c r="D22" s="265"/>
      <c r="E22" s="265"/>
      <c r="F22" s="655"/>
      <c r="G22" s="384"/>
      <c r="H22" s="385"/>
      <c r="I22" s="385"/>
      <c r="J22" s="385"/>
      <c r="K22" s="385"/>
      <c r="L22" s="385"/>
      <c r="M22" s="536"/>
      <c r="N22" s="386"/>
      <c r="O22" s="265"/>
      <c r="P22" s="265"/>
      <c r="Q22" s="325"/>
      <c r="R22" s="325"/>
      <c r="S22" s="549"/>
      <c r="T22" s="325"/>
      <c r="U22" s="325"/>
      <c r="V22" s="325"/>
      <c r="W22" s="325"/>
      <c r="X22" s="265"/>
      <c r="Y22" s="265"/>
      <c r="Z22" s="265"/>
      <c r="AA22" s="265"/>
      <c r="AB22" s="265"/>
      <c r="AC22" s="265"/>
      <c r="AD22" s="58"/>
      <c r="AE22" s="58"/>
      <c r="AF22" s="58"/>
      <c r="AG22" s="58"/>
      <c r="AH22" s="58"/>
      <c r="AI22" s="58"/>
    </row>
    <row r="23" spans="1:43" x14ac:dyDescent="0.3">
      <c r="A23" s="347" t="s">
        <v>239</v>
      </c>
      <c r="B23" s="11">
        <f t="shared" ref="B23:D25" si="22">B5/$E5*100</f>
        <v>39.322041719086918</v>
      </c>
      <c r="C23" s="12">
        <f t="shared" si="22"/>
        <v>55.566365803223128</v>
      </c>
      <c r="D23" s="643">
        <f t="shared" si="22"/>
        <v>5.1115924776899444</v>
      </c>
      <c r="E23" s="382">
        <f>SUM(B23:D23)</f>
        <v>99.999999999999986</v>
      </c>
      <c r="F23" s="411"/>
      <c r="G23" s="11">
        <f t="shared" ref="G23:I25" si="23">G5/$J5*100</f>
        <v>39.322041719086911</v>
      </c>
      <c r="H23" s="12">
        <f t="shared" si="23"/>
        <v>55.566365803223135</v>
      </c>
      <c r="I23" s="643">
        <f t="shared" si="23"/>
        <v>5.1115924776899435</v>
      </c>
      <c r="J23" s="382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37">
        <f t="shared" si="24"/>
        <v>44.930812879333772</v>
      </c>
      <c r="N23" s="383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 x14ac:dyDescent="0.3">
      <c r="A24" s="347" t="s">
        <v>231</v>
      </c>
      <c r="B24" s="11">
        <f t="shared" si="22"/>
        <v>35.557049113939897</v>
      </c>
      <c r="C24" s="12">
        <f t="shared" si="22"/>
        <v>58.505460552565168</v>
      </c>
      <c r="D24" s="643">
        <f t="shared" si="22"/>
        <v>5.9374903334949423</v>
      </c>
      <c r="E24" s="382">
        <f>SUM(B24:D24)</f>
        <v>100</v>
      </c>
      <c r="F24" s="411"/>
      <c r="G24" s="11">
        <f t="shared" si="23"/>
        <v>35.557049113939911</v>
      </c>
      <c r="H24" s="12">
        <f t="shared" si="23"/>
        <v>58.505460552565147</v>
      </c>
      <c r="I24" s="643">
        <f t="shared" si="23"/>
        <v>5.9374903334949449</v>
      </c>
      <c r="J24" s="382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37">
        <f t="shared" si="24"/>
        <v>44.053388218928667</v>
      </c>
      <c r="N24" s="383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 x14ac:dyDescent="0.3">
      <c r="A25" s="347" t="s">
        <v>226</v>
      </c>
      <c r="B25" s="11">
        <f t="shared" si="22"/>
        <v>21.000538472715668</v>
      </c>
      <c r="C25" s="12">
        <f t="shared" si="22"/>
        <v>70.058920488702782</v>
      </c>
      <c r="D25" s="643">
        <f t="shared" si="22"/>
        <v>8.9405410385815465</v>
      </c>
      <c r="E25" s="382">
        <f>SUM(B25:D25)</f>
        <v>99.999999999999986</v>
      </c>
      <c r="F25" s="411"/>
      <c r="G25" s="11">
        <f t="shared" si="23"/>
        <v>21.26111764058297</v>
      </c>
      <c r="H25" s="12">
        <f t="shared" si="23"/>
        <v>70.928226541323554</v>
      </c>
      <c r="I25" s="643">
        <f t="shared" si="23"/>
        <v>7.8106558180934798</v>
      </c>
      <c r="J25" s="382">
        <f>SUM(G25:I25)</f>
        <v>100</v>
      </c>
      <c r="K25" s="72">
        <f t="shared" si="24"/>
        <v>1.2530031132612938</v>
      </c>
      <c r="L25" s="72">
        <f t="shared" si="24"/>
        <v>98.7469968867387</v>
      </c>
      <c r="M25" s="537">
        <f t="shared" si="24"/>
        <v>42.225063164650919</v>
      </c>
      <c r="N25" s="383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 x14ac:dyDescent="0.3">
      <c r="A26" s="348" t="s">
        <v>263</v>
      </c>
      <c r="B26" s="11"/>
      <c r="C26" s="12"/>
      <c r="D26" s="176"/>
      <c r="E26" s="382"/>
      <c r="F26" s="411"/>
      <c r="G26" s="11"/>
      <c r="H26" s="12"/>
      <c r="I26" s="176"/>
      <c r="J26" s="382"/>
      <c r="K26" s="72"/>
      <c r="L26" s="72"/>
      <c r="M26" s="537"/>
      <c r="N26" s="383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 x14ac:dyDescent="0.3">
      <c r="A27" s="347" t="s">
        <v>239</v>
      </c>
      <c r="B27" s="11">
        <f>B35/$E35*100</f>
        <v>34.117325016068214</v>
      </c>
      <c r="C27" s="12">
        <f>C35/$E35*100</f>
        <v>59.411504094706189</v>
      </c>
      <c r="D27" s="643">
        <f>D35/$E35*100</f>
        <v>6.471170889225597</v>
      </c>
      <c r="E27" s="382">
        <f>SUM(B27:D27)</f>
        <v>100</v>
      </c>
      <c r="F27" s="411"/>
      <c r="G27" s="11">
        <f>G35/$E35*100</f>
        <v>34.117325016068214</v>
      </c>
      <c r="H27" s="12">
        <f>H35/$E35*100</f>
        <v>59.411504094706181</v>
      </c>
      <c r="I27" s="643">
        <f>I35/$E35*100</f>
        <v>6.4711708892256015</v>
      </c>
      <c r="J27" s="382">
        <f>SUM(G27:I27)</f>
        <v>100</v>
      </c>
      <c r="K27" s="72">
        <f>K35/$N35*100</f>
        <v>1.969765573729285</v>
      </c>
      <c r="L27" s="72">
        <f>L35/$N35*100</f>
        <v>98.030234426270709</v>
      </c>
      <c r="M27" s="537">
        <f>M35/$N35*100</f>
        <v>41.289524929100899</v>
      </c>
      <c r="N27" s="383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 x14ac:dyDescent="0.3">
      <c r="A28" s="347" t="s">
        <v>231</v>
      </c>
      <c r="B28" s="11">
        <f>B41/$E41*100</f>
        <v>30.882759858876817</v>
      </c>
      <c r="C28" s="12">
        <f>C41/$E41*100</f>
        <v>62.152818886340974</v>
      </c>
      <c r="D28" s="643">
        <f>D41/$E41*100</f>
        <v>6.9644212547821978</v>
      </c>
      <c r="E28" s="382">
        <f>SUM(B28:D28)</f>
        <v>99.999999999999986</v>
      </c>
      <c r="F28" s="411"/>
      <c r="G28" s="11">
        <f>G41/$J41*100</f>
        <v>30.882759858876824</v>
      </c>
      <c r="H28" s="12">
        <f>H41/$J41*100</f>
        <v>62.152818886340974</v>
      </c>
      <c r="I28" s="643">
        <f>I41/$J41*100</f>
        <v>6.9644212547821995</v>
      </c>
      <c r="J28" s="382">
        <f>SUM(G28:I28)</f>
        <v>100</v>
      </c>
      <c r="K28" s="72">
        <f>K41/$N41*100</f>
        <v>1.6972520870659726</v>
      </c>
      <c r="L28" s="72">
        <f>L41/$N41*100</f>
        <v>98.302747912934024</v>
      </c>
      <c r="M28" s="537">
        <f>M41/$N41*100</f>
        <v>40.705272267793049</v>
      </c>
      <c r="N28" s="383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6.2" thickBot="1" x14ac:dyDescent="0.35">
      <c r="A29" s="349" t="s">
        <v>226</v>
      </c>
      <c r="B29" s="21">
        <f>B46/$E46*100</f>
        <v>17.706505103266704</v>
      </c>
      <c r="C29" s="22">
        <f>C46/$E46*100</f>
        <v>72.379181490830348</v>
      </c>
      <c r="D29" s="644">
        <f>D46/$E46*100</f>
        <v>9.9143134059029503</v>
      </c>
      <c r="E29" s="365">
        <f>SUM(B29:D29)</f>
        <v>100</v>
      </c>
      <c r="F29" s="50"/>
      <c r="G29" s="21">
        <f>G46/$J46*100</f>
        <v>17.859607389723532</v>
      </c>
      <c r="H29" s="22">
        <f>H46/$J46*100</f>
        <v>73.005020306197423</v>
      </c>
      <c r="I29" s="644">
        <f>I46/$J46*100</f>
        <v>9.1353723040790431</v>
      </c>
      <c r="J29" s="365">
        <f>SUM(G29:I29)</f>
        <v>100</v>
      </c>
      <c r="K29" s="76">
        <f>K46/$N46*100</f>
        <v>1.6488525794192572</v>
      </c>
      <c r="L29" s="76">
        <f>L46/$N46*100</f>
        <v>98.351147420580745</v>
      </c>
      <c r="M29" s="538">
        <f>M46/$N46*100</f>
        <v>38.986302761667027</v>
      </c>
      <c r="N29" s="366">
        <f>SUM(K29:L29)</f>
        <v>100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 x14ac:dyDescent="0.3">
      <c r="B30" s="11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6.2" thickBot="1" x14ac:dyDescent="0.35">
      <c r="A31" s="364" t="s">
        <v>164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" customHeight="1" thickBot="1" x14ac:dyDescent="0.35">
      <c r="A32" s="511"/>
      <c r="B32" s="733" t="s">
        <v>67</v>
      </c>
      <c r="C32" s="734"/>
      <c r="D32" s="734"/>
      <c r="E32" s="734"/>
      <c r="F32" s="735"/>
      <c r="G32" s="736" t="s">
        <v>68</v>
      </c>
      <c r="H32" s="737"/>
      <c r="I32" s="737"/>
      <c r="J32" s="737"/>
      <c r="K32" s="737"/>
      <c r="L32" s="737"/>
      <c r="M32" s="737"/>
      <c r="N32" s="738"/>
      <c r="O32" s="733" t="s">
        <v>73</v>
      </c>
      <c r="P32" s="734"/>
      <c r="Q32" s="734"/>
      <c r="R32" s="734"/>
      <c r="S32" s="735"/>
      <c r="T32" s="733" t="s">
        <v>74</v>
      </c>
      <c r="U32" s="734"/>
      <c r="V32" s="734"/>
      <c r="W32" s="734"/>
      <c r="X32" s="735"/>
      <c r="Y32" s="737" t="s">
        <v>69</v>
      </c>
      <c r="Z32" s="737"/>
      <c r="AA32" s="737"/>
      <c r="AB32" s="737"/>
      <c r="AC32" s="738"/>
      <c r="AD32" s="746" t="s">
        <v>76</v>
      </c>
      <c r="AE32" s="748" t="s">
        <v>213</v>
      </c>
      <c r="AF32" s="749"/>
      <c r="AG32" s="744" t="s">
        <v>232</v>
      </c>
      <c r="AI32" s="733" t="s">
        <v>265</v>
      </c>
      <c r="AJ32" s="734"/>
      <c r="AK32" s="734"/>
      <c r="AL32" s="735"/>
      <c r="AN32" s="1"/>
      <c r="AO32" s="1"/>
      <c r="AP32" s="1"/>
      <c r="AQ32" s="1"/>
    </row>
    <row r="33" spans="1:43" s="58" customFormat="1" ht="16.2" thickBot="1" x14ac:dyDescent="0.35">
      <c r="A33" s="512"/>
      <c r="B33" s="60" t="s">
        <v>52</v>
      </c>
      <c r="C33" s="60" t="s">
        <v>53</v>
      </c>
      <c r="D33" s="60" t="s">
        <v>54</v>
      </c>
      <c r="E33" s="172" t="s">
        <v>157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157</v>
      </c>
      <c r="K33" s="60" t="s">
        <v>71</v>
      </c>
      <c r="L33" s="60" t="s">
        <v>72</v>
      </c>
      <c r="M33" s="535" t="s">
        <v>227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157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157</v>
      </c>
      <c r="X33" s="502" t="s">
        <v>51</v>
      </c>
      <c r="Y33" s="498" t="s">
        <v>52</v>
      </c>
      <c r="Z33" s="60" t="s">
        <v>53</v>
      </c>
      <c r="AA33" s="60" t="s">
        <v>54</v>
      </c>
      <c r="AB33" s="172" t="s">
        <v>157</v>
      </c>
      <c r="AC33" s="60" t="s">
        <v>51</v>
      </c>
      <c r="AD33" s="747"/>
      <c r="AE33" s="456" t="s">
        <v>55</v>
      </c>
      <c r="AF33" s="501" t="s">
        <v>51</v>
      </c>
      <c r="AG33" s="745"/>
      <c r="AI33" s="698" t="s">
        <v>52</v>
      </c>
      <c r="AJ33" s="699" t="s">
        <v>53</v>
      </c>
      <c r="AK33" s="699" t="s">
        <v>54</v>
      </c>
      <c r="AL33" s="61" t="s">
        <v>157</v>
      </c>
      <c r="AN33" s="1"/>
      <c r="AO33" s="1"/>
      <c r="AP33" s="1"/>
      <c r="AQ33" s="1"/>
    </row>
    <row r="34" spans="1:43" x14ac:dyDescent="0.3">
      <c r="A34" s="556">
        <v>2018</v>
      </c>
      <c r="B34" s="126">
        <f>SIM_BASE!B104</f>
        <v>754.57999192206978</v>
      </c>
      <c r="C34" s="127">
        <f>SIM_BASE!C104</f>
        <v>1059.4367831280679</v>
      </c>
      <c r="D34" s="127">
        <f>SIM_BASE!D104</f>
        <v>97.74707413422972</v>
      </c>
      <c r="E34" s="557">
        <f>SIM_BASE!E104</f>
        <v>1911.7638491843675</v>
      </c>
      <c r="F34" s="129">
        <f>SIM_BASE!F104</f>
        <v>4246.4333566721834</v>
      </c>
      <c r="G34" s="126">
        <f>SIM_BASE!G104</f>
        <v>754.57999192206967</v>
      </c>
      <c r="H34" s="127">
        <f>SIM_BASE!H104</f>
        <v>1059.4367831280683</v>
      </c>
      <c r="I34" s="127">
        <f>SIM_BASE!I104</f>
        <v>95.751636940187382</v>
      </c>
      <c r="J34" s="557">
        <f>SIM_BASE!J104</f>
        <v>1909.7684119903254</v>
      </c>
      <c r="K34" s="127">
        <f>SIM_BASE!K104</f>
        <v>217.21155814113021</v>
      </c>
      <c r="L34" s="127">
        <f>SIM_BASE!L104</f>
        <v>12835.395477989521</v>
      </c>
      <c r="M34" s="127">
        <f>2*(B34*$B$62*$C$62+C34*$B$63*$C$63+D34*$B$64*$C$64)</f>
        <v>5917.5833314495439</v>
      </c>
      <c r="N34" s="558">
        <f>SIM_BASE!M104</f>
        <v>13052.607036130652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2.0024371940423449</v>
      </c>
      <c r="R34" s="664">
        <f>IF(SIM_BASE!Q104&gt;0,SIM_BASE!Q104,0)</f>
        <v>2.0164371940423447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64">
        <f>IF(SIM_BASE!Q104&lt;0,-SIM_BASE!Q104,0)</f>
        <v>0</v>
      </c>
      <c r="X34" s="129">
        <f>IF(SIM_BASE!R104&lt;0,-SIM_BASE!R104,0)</f>
        <v>8806.1666794584671</v>
      </c>
      <c r="Y34" s="127">
        <f>SIM_BASE!S104</f>
        <v>79291.006026788469</v>
      </c>
      <c r="Z34" s="127">
        <f>SIM_BASE!T104</f>
        <v>79472.188203116209</v>
      </c>
      <c r="AA34" s="127">
        <f>SIM_BASE!U104</f>
        <v>82941.792586116513</v>
      </c>
      <c r="AB34" s="128">
        <f>SIM_BASE!V104</f>
        <v>79574.558654334207</v>
      </c>
      <c r="AC34" s="129">
        <f>SIM_BASE!W104</f>
        <v>7099.9176596539946</v>
      </c>
      <c r="AD34" s="559">
        <v>94666</v>
      </c>
      <c r="AE34" s="560">
        <f t="shared" ref="AE34:AE46" si="25">(J34/AD34)*1000</f>
        <v>20.173752054489736</v>
      </c>
      <c r="AF34" s="561">
        <f t="shared" ref="AF34:AF46" si="26">(K34/AD34)*1000</f>
        <v>2.29450444870524</v>
      </c>
      <c r="AG34" s="586">
        <f>M34-(F34-K34)</f>
        <v>1888.3615329184909</v>
      </c>
      <c r="AH34" s="375"/>
      <c r="AI34" s="355" t="s">
        <v>264</v>
      </c>
      <c r="AJ34" s="376" t="s">
        <v>264</v>
      </c>
      <c r="AK34" s="376" t="s">
        <v>264</v>
      </c>
      <c r="AL34" s="354" t="s">
        <v>264</v>
      </c>
      <c r="AM34" s="504"/>
    </row>
    <row r="35" spans="1:43" x14ac:dyDescent="0.3">
      <c r="A35" s="513">
        <v>2019</v>
      </c>
      <c r="B35" s="167">
        <f>SIM_BASE!B105</f>
        <v>561.42673280612155</v>
      </c>
      <c r="C35" s="74">
        <f>SIM_BASE!C105</f>
        <v>977.66183659706996</v>
      </c>
      <c r="D35" s="74">
        <f>SIM_BASE!D105</f>
        <v>106.48807689515336</v>
      </c>
      <c r="E35" s="173">
        <f>SIM_BASE!E105</f>
        <v>1645.5766462983449</v>
      </c>
      <c r="F35" s="75">
        <f>SIM_BASE!F105</f>
        <v>4363.2354470181153</v>
      </c>
      <c r="G35" s="167">
        <f>SIM_BASE!G105</f>
        <v>561.42673280612155</v>
      </c>
      <c r="H35" s="74">
        <f>SIM_BASE!H105</f>
        <v>977.66183659706985</v>
      </c>
      <c r="I35" s="74">
        <f>SIM_BASE!I105</f>
        <v>106.48807689515343</v>
      </c>
      <c r="J35" s="173">
        <f>SIM_BASE!J105</f>
        <v>1645.5766462983447</v>
      </c>
      <c r="K35" s="74">
        <f>SIM_BASE!K105</f>
        <v>248.88643264583166</v>
      </c>
      <c r="L35" s="74">
        <f>SIM_BASE!L105</f>
        <v>12386.446216336561</v>
      </c>
      <c r="M35" s="74">
        <f t="shared" ref="M35:M46" si="27">2*(B35*$B$62*$C$62+C35*$B$63*$C$63+D35*$B$64*$C$64)</f>
        <v>5217.0688239764104</v>
      </c>
      <c r="N35" s="510">
        <f>SIM_BASE!M105</f>
        <v>12635.332648982392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8272.0902019642763</v>
      </c>
      <c r="Y35" s="74">
        <f>SIM_BASE!S105</f>
        <v>120602.34029442044</v>
      </c>
      <c r="Z35" s="74">
        <f>SIM_BASE!T105</f>
        <v>95295.029257792237</v>
      </c>
      <c r="AA35" s="74">
        <f>SIM_BASE!U105</f>
        <v>95228.384777018713</v>
      </c>
      <c r="AB35" s="95">
        <f>SIM_BASE!V105</f>
        <v>103924.89413874688</v>
      </c>
      <c r="AC35" s="75">
        <f>SIM_BASE!W105</f>
        <v>7421.0084818891492</v>
      </c>
      <c r="AD35" s="17">
        <v>95750.9</v>
      </c>
      <c r="AE35" s="11">
        <f t="shared" si="25"/>
        <v>17.186017534021559</v>
      </c>
      <c r="AF35" s="13">
        <f t="shared" si="26"/>
        <v>2.5993116790111812</v>
      </c>
      <c r="AG35" s="587">
        <f t="shared" ref="AG35:AG46" si="28">M35-(F35-K35)</f>
        <v>1102.7198096041266</v>
      </c>
      <c r="AH35" s="375"/>
      <c r="AI35" s="700">
        <f t="shared" ref="AI35:AI46" si="29">B35/B34*100-100</f>
        <v>-25.597453044566862</v>
      </c>
      <c r="AJ35" s="701">
        <f t="shared" ref="AJ35:AJ46" si="30">C35/C34*100-100</f>
        <v>-7.7187188356393648</v>
      </c>
      <c r="AK35" s="701">
        <f t="shared" ref="AK35:AK46" si="31">D35/D34*100-100</f>
        <v>8.9424699801450771</v>
      </c>
      <c r="AL35" s="704">
        <f t="shared" ref="AL35:AL46" si="32">E35/E34*100-100</f>
        <v>-13.923644544256248</v>
      </c>
      <c r="AM35" s="504"/>
      <c r="AN35" s="701"/>
    </row>
    <row r="36" spans="1:43" x14ac:dyDescent="0.3">
      <c r="A36" s="513">
        <v>2020</v>
      </c>
      <c r="B36" s="167">
        <f>SIM_BASE!B106</f>
        <v>597.57316580963334</v>
      </c>
      <c r="C36" s="74">
        <f>SIM_BASE!C106</f>
        <v>1043.7109461740313</v>
      </c>
      <c r="D36" s="74">
        <f>SIM_BASE!D106</f>
        <v>107.03280117839864</v>
      </c>
      <c r="E36" s="173">
        <f>SIM_BASE!E106</f>
        <v>1748.3169131620632</v>
      </c>
      <c r="F36" s="75">
        <f>SIM_BASE!F106</f>
        <v>4503.2090816600357</v>
      </c>
      <c r="G36" s="167">
        <f>SIM_BASE!G106</f>
        <v>597.57316580963322</v>
      </c>
      <c r="H36" s="74">
        <f>SIM_BASE!H106</f>
        <v>1043.7109461740311</v>
      </c>
      <c r="I36" s="74">
        <f>SIM_BASE!I106</f>
        <v>107.03280117839869</v>
      </c>
      <c r="J36" s="173">
        <f>SIM_BASE!J106</f>
        <v>1748.316913162063</v>
      </c>
      <c r="K36" s="74">
        <f>SIM_BASE!K106</f>
        <v>259.76120378490805</v>
      </c>
      <c r="L36" s="74">
        <f>SIM_BASE!L106</f>
        <v>13227.889453500302</v>
      </c>
      <c r="M36" s="74">
        <f t="shared" si="27"/>
        <v>5539.3948048917991</v>
      </c>
      <c r="N36" s="510">
        <f>SIM_BASE!M106</f>
        <v>13487.65065728521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8984.4345756251732</v>
      </c>
      <c r="Y36" s="74">
        <f>SIM_BASE!S106</f>
        <v>130870.66682997833</v>
      </c>
      <c r="Z36" s="74">
        <f>SIM_BASE!T106</f>
        <v>102221.7647785794</v>
      </c>
      <c r="AA36" s="74">
        <f>SIM_BASE!U106</f>
        <v>93190.35151563042</v>
      </c>
      <c r="AB36" s="95">
        <f>SIM_BASE!V106</f>
        <v>111461.02655891432</v>
      </c>
      <c r="AC36" s="75">
        <f>SIM_BASE!W106</f>
        <v>7642.2438156598218</v>
      </c>
      <c r="AD36" s="17">
        <v>96848.3</v>
      </c>
      <c r="AE36" s="11">
        <f t="shared" si="25"/>
        <v>18.052117725990676</v>
      </c>
      <c r="AF36" s="13">
        <f t="shared" si="26"/>
        <v>2.6821452083816446</v>
      </c>
      <c r="AG36" s="587">
        <f t="shared" si="28"/>
        <v>1295.9469270166719</v>
      </c>
      <c r="AH36" s="375"/>
      <c r="AI36" s="700">
        <f t="shared" si="29"/>
        <v>6.4383170396687035</v>
      </c>
      <c r="AJ36" s="701">
        <f t="shared" si="30"/>
        <v>6.7558236503183196</v>
      </c>
      <c r="AK36" s="701">
        <f t="shared" si="31"/>
        <v>0.51153546869065281</v>
      </c>
      <c r="AL36" s="704">
        <f t="shared" si="32"/>
        <v>6.2434203289666357</v>
      </c>
      <c r="AM36" s="504"/>
    </row>
    <row r="37" spans="1:43" x14ac:dyDescent="0.3">
      <c r="A37" s="513">
        <v>2021</v>
      </c>
      <c r="B37" s="167">
        <f>SIM_BASE!B107</f>
        <v>615.80720452500702</v>
      </c>
      <c r="C37" s="74">
        <f>SIM_BASE!C107</f>
        <v>1094.5736513351226</v>
      </c>
      <c r="D37" s="74">
        <f>SIM_BASE!D107</f>
        <v>113.66355054731915</v>
      </c>
      <c r="E37" s="173">
        <f>SIM_BASE!E107</f>
        <v>1824.0444064074486</v>
      </c>
      <c r="F37" s="75">
        <f>SIM_BASE!F107</f>
        <v>4685.3900596601552</v>
      </c>
      <c r="G37" s="167">
        <f>SIM_BASE!G107</f>
        <v>615.80720452500714</v>
      </c>
      <c r="H37" s="74">
        <f>SIM_BASE!H107</f>
        <v>1094.5736513351226</v>
      </c>
      <c r="I37" s="74">
        <f>SIM_BASE!I107</f>
        <v>113.66355054731912</v>
      </c>
      <c r="J37" s="173">
        <f>SIM_BASE!J107</f>
        <v>1824.0444064074488</v>
      </c>
      <c r="K37" s="74">
        <f>SIM_BASE!K107</f>
        <v>268.91570000166718</v>
      </c>
      <c r="L37" s="74">
        <f>SIM_BASE!L107</f>
        <v>13937.268248270611</v>
      </c>
      <c r="M37" s="74">
        <f t="shared" si="27"/>
        <v>5790.0666892689469</v>
      </c>
      <c r="N37" s="510">
        <f>SIM_BASE!M107</f>
        <v>14206.183948272279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9520.7868886121214</v>
      </c>
      <c r="Y37" s="74">
        <f>SIM_BASE!S107</f>
        <v>138307.77056000195</v>
      </c>
      <c r="Z37" s="74">
        <f>SIM_BASE!T107</f>
        <v>105829.02638285777</v>
      </c>
      <c r="AA37" s="74">
        <f>SIM_BASE!U107</f>
        <v>95833.975984896344</v>
      </c>
      <c r="AB37" s="95">
        <f>SIM_BASE!V107</f>
        <v>116171.19331465583</v>
      </c>
      <c r="AC37" s="75">
        <f>SIM_BASE!W107</f>
        <v>7898.7829608529219</v>
      </c>
      <c r="AD37" s="17">
        <v>97958.3</v>
      </c>
      <c r="AE37" s="11">
        <f t="shared" si="25"/>
        <v>18.620621288930586</v>
      </c>
      <c r="AF37" s="13">
        <f t="shared" si="26"/>
        <v>2.7452058682282883</v>
      </c>
      <c r="AG37" s="587">
        <f t="shared" si="28"/>
        <v>1373.5923296104593</v>
      </c>
      <c r="AH37" s="375"/>
      <c r="AI37" s="700">
        <f t="shared" si="29"/>
        <v>3.0513483132511396</v>
      </c>
      <c r="AJ37" s="701">
        <f t="shared" si="30"/>
        <v>4.873255890200312</v>
      </c>
      <c r="AK37" s="701">
        <f t="shared" si="31"/>
        <v>6.1950629114794395</v>
      </c>
      <c r="AL37" s="704">
        <f t="shared" si="32"/>
        <v>4.3314511617017075</v>
      </c>
      <c r="AM37" s="504"/>
    </row>
    <row r="38" spans="1:43" x14ac:dyDescent="0.3">
      <c r="A38" s="513">
        <v>2022</v>
      </c>
      <c r="B38" s="167">
        <f>SIM_BASE!B108</f>
        <v>634.55465047247912</v>
      </c>
      <c r="C38" s="74">
        <f>SIM_BASE!C108</f>
        <v>1154.0374508997315</v>
      </c>
      <c r="D38" s="74">
        <f>SIM_BASE!D108</f>
        <v>121.66103980911275</v>
      </c>
      <c r="E38" s="173">
        <f>SIM_BASE!E108</f>
        <v>1910.2531411813234</v>
      </c>
      <c r="F38" s="75">
        <f>SIM_BASE!F108</f>
        <v>4891.8019359395721</v>
      </c>
      <c r="G38" s="167">
        <f>SIM_BASE!G108</f>
        <v>634.55465047247935</v>
      </c>
      <c r="H38" s="74">
        <f>SIM_BASE!H108</f>
        <v>1154.0374508997322</v>
      </c>
      <c r="I38" s="74">
        <f>SIM_BASE!I108</f>
        <v>121.66103980911272</v>
      </c>
      <c r="J38" s="173">
        <f>SIM_BASE!J108</f>
        <v>1910.2531411813243</v>
      </c>
      <c r="K38" s="74">
        <f>SIM_BASE!K108</f>
        <v>277.84916322054426</v>
      </c>
      <c r="L38" s="74">
        <f>SIM_BASE!L108</f>
        <v>14707.142739460811</v>
      </c>
      <c r="M38" s="74">
        <f t="shared" si="27"/>
        <v>6078.2307023680078</v>
      </c>
      <c r="N38" s="510">
        <f>SIM_BASE!M108</f>
        <v>14984.991902681355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10093.182966741781</v>
      </c>
      <c r="Y38" s="74">
        <f>SIM_BASE!S108</f>
        <v>145971.71236524172</v>
      </c>
      <c r="Z38" s="74">
        <f>SIM_BASE!T108</f>
        <v>108744.70985998151</v>
      </c>
      <c r="AA38" s="74">
        <f>SIM_BASE!U108</f>
        <v>97633.786336384335</v>
      </c>
      <c r="AB38" s="95">
        <f>SIM_BASE!V108</f>
        <v>120403.26996054003</v>
      </c>
      <c r="AC38" s="75">
        <f>SIM_BASE!W108</f>
        <v>8161.7388289450864</v>
      </c>
      <c r="AD38" s="17">
        <v>99081</v>
      </c>
      <c r="AE38" s="11">
        <f t="shared" si="25"/>
        <v>19.279711964769476</v>
      </c>
      <c r="AF38" s="13">
        <f t="shared" si="26"/>
        <v>2.8042628074054994</v>
      </c>
      <c r="AG38" s="587">
        <f t="shared" si="28"/>
        <v>1464.2779296489798</v>
      </c>
      <c r="AH38" s="375"/>
      <c r="AI38" s="700">
        <f t="shared" si="29"/>
        <v>3.0443693756283068</v>
      </c>
      <c r="AJ38" s="701">
        <f t="shared" si="30"/>
        <v>5.4325992126776725</v>
      </c>
      <c r="AK38" s="701">
        <f t="shared" si="31"/>
        <v>7.0361071982035099</v>
      </c>
      <c r="AL38" s="704">
        <f t="shared" si="32"/>
        <v>4.7262410098703356</v>
      </c>
      <c r="AM38" s="504"/>
    </row>
    <row r="39" spans="1:43" x14ac:dyDescent="0.3">
      <c r="A39" s="513">
        <v>2023</v>
      </c>
      <c r="B39" s="167">
        <f>SIM_BASE!B109</f>
        <v>653.84648730446577</v>
      </c>
      <c r="C39" s="74">
        <f>SIM_BASE!C109</f>
        <v>1223.3042529076447</v>
      </c>
      <c r="D39" s="74">
        <f>SIM_BASE!D109</f>
        <v>131.2661947638793</v>
      </c>
      <c r="E39" s="173">
        <f>SIM_BASE!E109</f>
        <v>2008.41693497599</v>
      </c>
      <c r="F39" s="75">
        <f>SIM_BASE!F109</f>
        <v>5122.6583367306848</v>
      </c>
      <c r="G39" s="167">
        <f>SIM_BASE!G109</f>
        <v>653.84648730446588</v>
      </c>
      <c r="H39" s="74">
        <f>SIM_BASE!H109</f>
        <v>1223.3042529076442</v>
      </c>
      <c r="I39" s="74">
        <f>SIM_BASE!I109</f>
        <v>131.26619476387935</v>
      </c>
      <c r="J39" s="173">
        <f>SIM_BASE!J109</f>
        <v>2008.4169349759895</v>
      </c>
      <c r="K39" s="74">
        <f>SIM_BASE!K109</f>
        <v>286.58464887845611</v>
      </c>
      <c r="L39" s="74">
        <f>SIM_BASE!L109</f>
        <v>15547.609057216574</v>
      </c>
      <c r="M39" s="74">
        <f t="shared" si="27"/>
        <v>6409.2287849961103</v>
      </c>
      <c r="N39" s="510">
        <f>SIM_BASE!M109</f>
        <v>15834.193706095029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10711.528369364343</v>
      </c>
      <c r="Y39" s="74">
        <f>SIM_BASE!S109</f>
        <v>153847.67188109879</v>
      </c>
      <c r="Z39" s="74">
        <f>SIM_BASE!T109</f>
        <v>110887.1810799555</v>
      </c>
      <c r="AA39" s="74">
        <f>SIM_BASE!U109</f>
        <v>98524.916944257013</v>
      </c>
      <c r="AB39" s="95">
        <f>SIM_BASE!V109</f>
        <v>124065.13142011265</v>
      </c>
      <c r="AC39" s="75">
        <f>SIM_BASE!W109</f>
        <v>8419.3291964554301</v>
      </c>
      <c r="AD39" s="17">
        <v>100216.5</v>
      </c>
      <c r="AE39" s="11">
        <f t="shared" si="25"/>
        <v>20.040781058767664</v>
      </c>
      <c r="AF39" s="13">
        <f t="shared" si="26"/>
        <v>2.8596553349843199</v>
      </c>
      <c r="AG39" s="587">
        <f t="shared" si="28"/>
        <v>1573.1550971438819</v>
      </c>
      <c r="AH39" s="375"/>
      <c r="AI39" s="700">
        <f t="shared" si="29"/>
        <v>3.0402167595213712</v>
      </c>
      <c r="AJ39" s="701">
        <f t="shared" si="30"/>
        <v>6.0021277432470015</v>
      </c>
      <c r="AK39" s="701">
        <f t="shared" si="31"/>
        <v>7.8950130377293419</v>
      </c>
      <c r="AL39" s="704">
        <f t="shared" si="32"/>
        <v>5.1387845766849978</v>
      </c>
      <c r="AM39" s="504"/>
    </row>
    <row r="40" spans="1:43" x14ac:dyDescent="0.3">
      <c r="A40" s="513">
        <v>2024</v>
      </c>
      <c r="B40" s="167">
        <f>SIM_BASE!B110</f>
        <v>673.64820406833269</v>
      </c>
      <c r="C40" s="74">
        <f>SIM_BASE!C110</f>
        <v>1303.6410914249291</v>
      </c>
      <c r="D40" s="74">
        <f>SIM_BASE!D110</f>
        <v>142.76018718829047</v>
      </c>
      <c r="E40" s="173">
        <f>SIM_BASE!E110</f>
        <v>2120.049482681552</v>
      </c>
      <c r="F40" s="75">
        <f>SIM_BASE!F110</f>
        <v>5386.6446305001982</v>
      </c>
      <c r="G40" s="167">
        <f>SIM_BASE!G110</f>
        <v>673.64820406833269</v>
      </c>
      <c r="H40" s="74">
        <f>SIM_BASE!H110</f>
        <v>1303.6410914249288</v>
      </c>
      <c r="I40" s="74">
        <f>SIM_BASE!I110</f>
        <v>142.76018718829047</v>
      </c>
      <c r="J40" s="173">
        <f>SIM_BASE!J110</f>
        <v>2120.049482681552</v>
      </c>
      <c r="K40" s="74">
        <f>SIM_BASE!K110</f>
        <v>294.37421656424709</v>
      </c>
      <c r="L40" s="74">
        <f>SIM_BASE!L110</f>
        <v>16456.485358714883</v>
      </c>
      <c r="M40" s="74">
        <f t="shared" si="27"/>
        <v>6788.6457681836418</v>
      </c>
      <c r="N40" s="510">
        <f>SIM_BASE!M110</f>
        <v>16750.85957527913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11364.207944778933</v>
      </c>
      <c r="Y40" s="74">
        <f>SIM_BASE!S110</f>
        <v>161925.29060775551</v>
      </c>
      <c r="Z40" s="74">
        <f>SIM_BASE!T110</f>
        <v>112207.07345022059</v>
      </c>
      <c r="AA40" s="74">
        <f>SIM_BASE!U110</f>
        <v>98478.149443916758</v>
      </c>
      <c r="AB40" s="95">
        <f>SIM_BASE!V110</f>
        <v>127080.61493791023</v>
      </c>
      <c r="AC40" s="75">
        <f>SIM_BASE!W110</f>
        <v>8686.6062272615363</v>
      </c>
      <c r="AD40" s="17">
        <v>101365.1</v>
      </c>
      <c r="AE40" s="11">
        <f t="shared" si="25"/>
        <v>20.91498437511088</v>
      </c>
      <c r="AF40" s="13">
        <f t="shared" si="26"/>
        <v>2.9040983194832055</v>
      </c>
      <c r="AG40" s="587">
        <f t="shared" si="28"/>
        <v>1696.3753542476907</v>
      </c>
      <c r="AH40" s="375"/>
      <c r="AI40" s="700">
        <f t="shared" si="29"/>
        <v>3.0284963134850074</v>
      </c>
      <c r="AJ40" s="701">
        <f t="shared" si="30"/>
        <v>6.5672001324554827</v>
      </c>
      <c r="AK40" s="701">
        <f t="shared" si="31"/>
        <v>8.7562471397045272</v>
      </c>
      <c r="AL40" s="704">
        <f t="shared" si="32"/>
        <v>5.5582357309139354</v>
      </c>
      <c r="AM40" s="504"/>
    </row>
    <row r="41" spans="1:43" x14ac:dyDescent="0.3">
      <c r="A41" s="550">
        <v>2025</v>
      </c>
      <c r="B41" s="130">
        <f>SIM_BASE!B111</f>
        <v>693.9858165839139</v>
      </c>
      <c r="C41" s="131">
        <f>SIM_BASE!C111</f>
        <v>1396.6748750737515</v>
      </c>
      <c r="D41" s="131">
        <f>SIM_BASE!D111</f>
        <v>156.50186685453085</v>
      </c>
      <c r="E41" s="551">
        <f>SIM_BASE!E111</f>
        <v>2247.1625585121965</v>
      </c>
      <c r="F41" s="133">
        <f>SIM_BASE!F111</f>
        <v>5687.7562034390448</v>
      </c>
      <c r="G41" s="130">
        <f>SIM_BASE!G111</f>
        <v>693.98581658391379</v>
      </c>
      <c r="H41" s="131">
        <f>SIM_BASE!H111</f>
        <v>1396.6748750737511</v>
      </c>
      <c r="I41" s="131">
        <f>SIM_BASE!I111</f>
        <v>156.50186685453082</v>
      </c>
      <c r="J41" s="551">
        <f>SIM_BASE!J111</f>
        <v>2247.1625585121956</v>
      </c>
      <c r="K41" s="131">
        <f>SIM_BASE!K111</f>
        <v>301.20465070685225</v>
      </c>
      <c r="L41" s="131">
        <f>SIM_BASE!L111</f>
        <v>17445.401937801904</v>
      </c>
      <c r="M41" s="131">
        <f t="shared" si="27"/>
        <v>7223.8045301465891</v>
      </c>
      <c r="N41" s="552">
        <f>SIM_BASE!M111</f>
        <v>17746.606588508756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7.0000000000000001E-3</v>
      </c>
      <c r="R41" s="665">
        <f>IF(SIM_BASE!Q111&gt;0,SIM_BASE!Q111,0)</f>
        <v>2.1000000000000001E-2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0</v>
      </c>
      <c r="W41" s="665">
        <f>IF(SIM_BASE!Q111&lt;0,-SIM_BASE!Q111,0)</f>
        <v>0</v>
      </c>
      <c r="X41" s="133">
        <f>IF(SIM_BASE!R111&lt;0,-SIM_BASE!R111,0)</f>
        <v>12058.843385069713</v>
      </c>
      <c r="Y41" s="131">
        <f>SIM_BASE!S111</f>
        <v>170197.62959913898</v>
      </c>
      <c r="Z41" s="131">
        <f>SIM_BASE!T111</f>
        <v>112684.13780618472</v>
      </c>
      <c r="AA41" s="131">
        <f>SIM_BASE!U111</f>
        <v>97511.230980718727</v>
      </c>
      <c r="AB41" s="132">
        <f>SIM_BASE!V111</f>
        <v>129389.18621513656</v>
      </c>
      <c r="AC41" s="133">
        <f>SIM_BASE!W111</f>
        <v>8963.9224519055497</v>
      </c>
      <c r="AD41" s="553">
        <v>102526.8</v>
      </c>
      <c r="AE41" s="554">
        <f t="shared" si="25"/>
        <v>21.91780645170039</v>
      </c>
      <c r="AF41" s="555">
        <f t="shared" si="26"/>
        <v>2.9378138272807912</v>
      </c>
      <c r="AG41" s="588">
        <f t="shared" si="28"/>
        <v>1837.2529774143968</v>
      </c>
      <c r="AH41" s="375"/>
      <c r="AI41" s="700">
        <f t="shared" si="29"/>
        <v>3.0190257159088674</v>
      </c>
      <c r="AJ41" s="701">
        <f t="shared" si="30"/>
        <v>7.1364568254850695</v>
      </c>
      <c r="AK41" s="701">
        <f t="shared" si="31"/>
        <v>9.6257086355007857</v>
      </c>
      <c r="AL41" s="704">
        <f t="shared" si="32"/>
        <v>5.9957598569758517</v>
      </c>
      <c r="AM41" s="504"/>
    </row>
    <row r="42" spans="1:43" x14ac:dyDescent="0.3">
      <c r="A42" s="513">
        <v>2026</v>
      </c>
      <c r="B42" s="167">
        <f>SIM_BASE!B112</f>
        <v>667.72874823421785</v>
      </c>
      <c r="C42" s="74">
        <f>SIM_BASE!C112</f>
        <v>1505.2909924128212</v>
      </c>
      <c r="D42" s="74">
        <f>SIM_BASE!D112</f>
        <v>173.0980204616952</v>
      </c>
      <c r="E42" s="173">
        <f>SIM_BASE!E112</f>
        <v>2346.1177611087342</v>
      </c>
      <c r="F42" s="75">
        <f>SIM_BASE!F112</f>
        <v>6044.0359029798474</v>
      </c>
      <c r="G42" s="167">
        <f>SIM_BASE!G112</f>
        <v>667.72874823421796</v>
      </c>
      <c r="H42" s="74">
        <f>SIM_BASE!H112</f>
        <v>1505.2909924128214</v>
      </c>
      <c r="I42" s="74">
        <f>SIM_BASE!I112</f>
        <v>173.09802046169517</v>
      </c>
      <c r="J42" s="173">
        <f>SIM_BASE!J112</f>
        <v>2346.1177611087346</v>
      </c>
      <c r="K42" s="74">
        <f>SIM_BASE!K112</f>
        <v>319.04392264204648</v>
      </c>
      <c r="L42" s="74">
        <f>SIM_BASE!L112</f>
        <v>18550.961836950588</v>
      </c>
      <c r="M42" s="74">
        <f t="shared" si="27"/>
        <v>7620.0133588700173</v>
      </c>
      <c r="N42" s="510">
        <f>SIM_BASE!M112</f>
        <v>18870.005759592634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7.0000000000000001E-3</v>
      </c>
      <c r="R42" s="88">
        <f>IF(SIM_BASE!Q112&gt;0,SIM_BASE!Q112,0)</f>
        <v>2.1000000000000001E-2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0</v>
      </c>
      <c r="W42" s="88">
        <f>IF(SIM_BASE!Q112&lt;0,-SIM_BASE!Q112,0)</f>
        <v>0</v>
      </c>
      <c r="X42" s="75">
        <f>IF(SIM_BASE!R112&lt;0,-SIM_BASE!R112,0)</f>
        <v>12825.962856612787</v>
      </c>
      <c r="Y42" s="74">
        <f>SIM_BASE!S112</f>
        <v>194912.60270815738</v>
      </c>
      <c r="Z42" s="74">
        <f>SIM_BASE!T112</f>
        <v>113235.08075292861</v>
      </c>
      <c r="AA42" s="74">
        <f>SIM_BASE!U112</f>
        <v>96401.939160681257</v>
      </c>
      <c r="AB42" s="95">
        <f>SIM_BASE!V112</f>
        <v>135239.36666817241</v>
      </c>
      <c r="AC42" s="75">
        <f>SIM_BASE!W112</f>
        <v>9237.7421853688793</v>
      </c>
      <c r="AD42" s="17">
        <v>103701.8</v>
      </c>
      <c r="AE42" s="11">
        <f t="shared" si="25"/>
        <v>22.623693717068889</v>
      </c>
      <c r="AF42" s="13">
        <f t="shared" si="26"/>
        <v>3.0765514450284033</v>
      </c>
      <c r="AG42" s="587">
        <f t="shared" si="28"/>
        <v>1895.0213785322167</v>
      </c>
      <c r="AH42" s="375"/>
      <c r="AI42" s="700">
        <f t="shared" si="29"/>
        <v>-3.7835165679529581</v>
      </c>
      <c r="AJ42" s="701">
        <f t="shared" si="30"/>
        <v>7.7767646055302748</v>
      </c>
      <c r="AK42" s="701">
        <f t="shared" si="31"/>
        <v>10.604444496876539</v>
      </c>
      <c r="AL42" s="704">
        <f t="shared" si="32"/>
        <v>4.4035622710826061</v>
      </c>
      <c r="AM42" s="504"/>
    </row>
    <row r="43" spans="1:43" x14ac:dyDescent="0.3">
      <c r="A43" s="513">
        <v>2027</v>
      </c>
      <c r="B43" s="167">
        <f>SIM_BASE!B113</f>
        <v>636.87536632901663</v>
      </c>
      <c r="C43" s="74">
        <f>SIM_BASE!C113</f>
        <v>1631.2144948277091</v>
      </c>
      <c r="D43" s="74">
        <f>SIM_BASE!D113</f>
        <v>193.00834414434794</v>
      </c>
      <c r="E43" s="173">
        <f>SIM_BASE!E113</f>
        <v>2461.0982053010739</v>
      </c>
      <c r="F43" s="75">
        <f>SIM_BASE!F113</f>
        <v>6451.467993375607</v>
      </c>
      <c r="G43" s="167">
        <f>SIM_BASE!G113</f>
        <v>636.87536632901652</v>
      </c>
      <c r="H43" s="74">
        <f>SIM_BASE!H113</f>
        <v>1631.2144948277091</v>
      </c>
      <c r="I43" s="74">
        <f>SIM_BASE!I113</f>
        <v>193.00834414434777</v>
      </c>
      <c r="J43" s="173">
        <f>SIM_BASE!J113</f>
        <v>2461.098205301073</v>
      </c>
      <c r="K43" s="74">
        <f>SIM_BASE!K113</f>
        <v>338.94892417443589</v>
      </c>
      <c r="L43" s="74">
        <f>SIM_BASE!L113</f>
        <v>19810.119645189043</v>
      </c>
      <c r="M43" s="74">
        <f t="shared" si="27"/>
        <v>8081.0407256557546</v>
      </c>
      <c r="N43" s="510">
        <f>SIM_BASE!M113</f>
        <v>20149.06856936348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7.0000000000000001E-3</v>
      </c>
      <c r="R43" s="88">
        <f>IF(SIM_BASE!Q113&gt;0,SIM_BASE!Q113,0)</f>
        <v>2.1000000000000001E-2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0</v>
      </c>
      <c r="W43" s="88">
        <f>IF(SIM_BASE!Q113&lt;0,-SIM_BASE!Q113,0)</f>
        <v>0</v>
      </c>
      <c r="X43" s="75">
        <f>IF(SIM_BASE!R113&lt;0,-SIM_BASE!R113,0)</f>
        <v>13697.593575987876</v>
      </c>
      <c r="Y43" s="74">
        <f>SIM_BASE!S113</f>
        <v>225399.89376228108</v>
      </c>
      <c r="Z43" s="74">
        <f>SIM_BASE!T113</f>
        <v>113040.5897429476</v>
      </c>
      <c r="AA43" s="74">
        <f>SIM_BASE!U113</f>
        <v>94503.363259295525</v>
      </c>
      <c r="AB43" s="95">
        <f>SIM_BASE!V113</f>
        <v>140662.82496002284</v>
      </c>
      <c r="AC43" s="75">
        <f>SIM_BASE!W113</f>
        <v>9521.497811174786</v>
      </c>
      <c r="AD43" s="17">
        <v>104890.3</v>
      </c>
      <c r="AE43" s="11">
        <f t="shared" si="25"/>
        <v>23.463544343958141</v>
      </c>
      <c r="AF43" s="13">
        <f t="shared" si="26"/>
        <v>3.2314610995910575</v>
      </c>
      <c r="AG43" s="587">
        <f t="shared" si="28"/>
        <v>1968.5216564545835</v>
      </c>
      <c r="AH43" s="375"/>
      <c r="AI43" s="700">
        <f t="shared" si="29"/>
        <v>-4.6206460313101445</v>
      </c>
      <c r="AJ43" s="701">
        <f t="shared" si="30"/>
        <v>8.365392674877171</v>
      </c>
      <c r="AK43" s="701">
        <f t="shared" si="31"/>
        <v>11.502340482893445</v>
      </c>
      <c r="AL43" s="704">
        <f t="shared" si="32"/>
        <v>4.9008811960914471</v>
      </c>
      <c r="AM43" s="504"/>
    </row>
    <row r="44" spans="1:43" x14ac:dyDescent="0.3">
      <c r="A44" s="513">
        <v>2028</v>
      </c>
      <c r="B44" s="167">
        <f>SIM_BASE!B114</f>
        <v>602.14859957157694</v>
      </c>
      <c r="C44" s="74">
        <f>SIM_BASE!C114</f>
        <v>1777.2587744367015</v>
      </c>
      <c r="D44" s="74">
        <f>SIM_BASE!D114</f>
        <v>216.95566856842362</v>
      </c>
      <c r="E44" s="173">
        <f>SIM_BASE!E114</f>
        <v>2596.3630425767024</v>
      </c>
      <c r="F44" s="75">
        <f>SIM_BASE!F114</f>
        <v>6917.2596360332855</v>
      </c>
      <c r="G44" s="167">
        <f>SIM_BASE!G114</f>
        <v>602.14859957157682</v>
      </c>
      <c r="H44" s="74">
        <f>SIM_BASE!H114</f>
        <v>1777.2587744367017</v>
      </c>
      <c r="I44" s="74">
        <f>SIM_BASE!I114</f>
        <v>216.95566856842373</v>
      </c>
      <c r="J44" s="173">
        <f>SIM_BASE!J114</f>
        <v>2596.3630425767024</v>
      </c>
      <c r="K44" s="74">
        <f>SIM_BASE!K114</f>
        <v>360.79579775975753</v>
      </c>
      <c r="L44" s="74">
        <f>SIM_BASE!L114</f>
        <v>21262.015854711339</v>
      </c>
      <c r="M44" s="74">
        <f t="shared" si="27"/>
        <v>8621.4966157835424</v>
      </c>
      <c r="N44" s="510">
        <f>SIM_BASE!M114</f>
        <v>21622.811652471097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7.0000000000000001E-3</v>
      </c>
      <c r="R44" s="88">
        <f>IF(SIM_BASE!Q114&gt;0,SIM_BASE!Q114,0)</f>
        <v>2.1000000000000001E-2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0</v>
      </c>
      <c r="W44" s="88">
        <f>IF(SIM_BASE!Q114&lt;0,-SIM_BASE!Q114,0)</f>
        <v>0</v>
      </c>
      <c r="X44" s="75">
        <f>IF(SIM_BASE!R114&lt;0,-SIM_BASE!R114,0)</f>
        <v>14705.545016437814</v>
      </c>
      <c r="Y44" s="74">
        <f>SIM_BASE!S114</f>
        <v>263205.90475742263</v>
      </c>
      <c r="Z44" s="74">
        <f>SIM_BASE!T114</f>
        <v>112104.99250496949</v>
      </c>
      <c r="AA44" s="74">
        <f>SIM_BASE!U114</f>
        <v>91864.870350684112</v>
      </c>
      <c r="AB44" s="95">
        <f>SIM_BASE!V114</f>
        <v>145457.02843095252</v>
      </c>
      <c r="AC44" s="75">
        <f>SIM_BASE!W114</f>
        <v>9815.6304301596374</v>
      </c>
      <c r="AD44" s="17">
        <v>106092.4</v>
      </c>
      <c r="AE44" s="11">
        <f t="shared" si="25"/>
        <v>24.472658197728606</v>
      </c>
      <c r="AF44" s="13">
        <f t="shared" si="26"/>
        <v>3.4007694967759949</v>
      </c>
      <c r="AG44" s="587">
        <f t="shared" si="28"/>
        <v>2065.0327775100141</v>
      </c>
      <c r="AH44" s="375"/>
      <c r="AI44" s="700">
        <f t="shared" si="29"/>
        <v>-5.4526785919836414</v>
      </c>
      <c r="AJ44" s="701">
        <f t="shared" si="30"/>
        <v>8.9531008994876373</v>
      </c>
      <c r="AK44" s="701">
        <f t="shared" si="31"/>
        <v>12.407403695544801</v>
      </c>
      <c r="AL44" s="704">
        <f t="shared" si="32"/>
        <v>5.4961170173654779</v>
      </c>
      <c r="AM44" s="504"/>
    </row>
    <row r="45" spans="1:43" x14ac:dyDescent="0.3">
      <c r="A45" s="513">
        <v>2029</v>
      </c>
      <c r="B45" s="167">
        <f>SIM_BASE!B115</f>
        <v>564.80061342366037</v>
      </c>
      <c r="C45" s="74">
        <f>SIM_BASE!C115</f>
        <v>1947.321706167058</v>
      </c>
      <c r="D45" s="74">
        <f>SIM_BASE!D115</f>
        <v>249.1470648739446</v>
      </c>
      <c r="E45" s="173">
        <f>SIM_BASE!E115</f>
        <v>2761.2693844646628</v>
      </c>
      <c r="F45" s="75">
        <f>SIM_BASE!F115</f>
        <v>7377.751361431443</v>
      </c>
      <c r="G45" s="167">
        <f>SIM_BASE!G115</f>
        <v>564.80061342366025</v>
      </c>
      <c r="H45" s="74">
        <f>SIM_BASE!H115</f>
        <v>1947.3217061670582</v>
      </c>
      <c r="I45" s="74">
        <f>SIM_BASE!I115</f>
        <v>242.57843383815279</v>
      </c>
      <c r="J45" s="173">
        <f>SIM_BASE!J115</f>
        <v>2754.7007534288714</v>
      </c>
      <c r="K45" s="74">
        <f>SIM_BASE!K115</f>
        <v>389.59410192318398</v>
      </c>
      <c r="L45" s="74">
        <f>SIM_BASE!L115</f>
        <v>23109.518916947305</v>
      </c>
      <c r="M45" s="74">
        <f t="shared" si="27"/>
        <v>9274.7600351132151</v>
      </c>
      <c r="N45" s="510">
        <f>SIM_BASE!M115</f>
        <v>23499.113018870488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6.5756310357917629</v>
      </c>
      <c r="R45" s="88">
        <f>IF(SIM_BASE!Q115&gt;0,SIM_BASE!Q115,0)</f>
        <v>6.5896310357917631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0</v>
      </c>
      <c r="W45" s="88">
        <f>IF(SIM_BASE!Q115&lt;0,-SIM_BASE!Q115,0)</f>
        <v>0</v>
      </c>
      <c r="X45" s="75">
        <f>IF(SIM_BASE!R115&lt;0,-SIM_BASE!R115,0)</f>
        <v>16121.35465743904</v>
      </c>
      <c r="Y45" s="74">
        <f>SIM_BASE!S115</f>
        <v>310726.26976221538</v>
      </c>
      <c r="Z45" s="74">
        <f>SIM_BASE!T115</f>
        <v>110619.50393550223</v>
      </c>
      <c r="AA45" s="74">
        <f>SIM_BASE!U115</f>
        <v>90080.179240432102</v>
      </c>
      <c r="AB45" s="95">
        <f>SIM_BASE!V115</f>
        <v>149839.01870059976</v>
      </c>
      <c r="AC45" s="75">
        <f>SIM_BASE!W115</f>
        <v>10086.803502943512</v>
      </c>
      <c r="AD45" s="17">
        <v>107308.3</v>
      </c>
      <c r="AE45" s="11">
        <f t="shared" si="25"/>
        <v>25.670901071295244</v>
      </c>
      <c r="AF45" s="13">
        <f t="shared" si="26"/>
        <v>3.6306054790093962</v>
      </c>
      <c r="AG45" s="587">
        <f t="shared" si="28"/>
        <v>2286.6027756049562</v>
      </c>
      <c r="AH45" s="375"/>
      <c r="AI45" s="700">
        <f t="shared" si="29"/>
        <v>-6.2024533768723131</v>
      </c>
      <c r="AJ45" s="701">
        <f t="shared" si="30"/>
        <v>9.5688334291250072</v>
      </c>
      <c r="AK45" s="701">
        <f t="shared" si="31"/>
        <v>14.837776084826487</v>
      </c>
      <c r="AL45" s="704">
        <f t="shared" si="32"/>
        <v>6.3514361891510589</v>
      </c>
      <c r="AM45" s="504"/>
    </row>
    <row r="46" spans="1:43" ht="16.2" thickBot="1" x14ac:dyDescent="0.35">
      <c r="A46" s="562">
        <v>2030</v>
      </c>
      <c r="B46" s="134">
        <f>SIM_BASE!B116</f>
        <v>524.84821475456101</v>
      </c>
      <c r="C46" s="135">
        <f>SIM_BASE!C116</f>
        <v>2145.4309571147492</v>
      </c>
      <c r="D46" s="135">
        <f>SIM_BASE!D116</f>
        <v>293.8755932499277</v>
      </c>
      <c r="E46" s="563">
        <f>SIM_BASE!E116</f>
        <v>2964.1547651192377</v>
      </c>
      <c r="F46" s="137">
        <f>SIM_BASE!F116</f>
        <v>8005.3977464934105</v>
      </c>
      <c r="G46" s="134">
        <f>SIM_BASE!G116</f>
        <v>524.84821475456124</v>
      </c>
      <c r="H46" s="135">
        <f>SIM_BASE!H116</f>
        <v>2145.4309571147492</v>
      </c>
      <c r="I46" s="135">
        <f>SIM_BASE!I116</f>
        <v>268.46524340020051</v>
      </c>
      <c r="J46" s="563">
        <f>SIM_BASE!J116</f>
        <v>2938.7444152695111</v>
      </c>
      <c r="K46" s="135">
        <f>SIM_BASE!K116</f>
        <v>425.98471727108381</v>
      </c>
      <c r="L46" s="135">
        <f>SIM_BASE!L116</f>
        <v>25409.236853666443</v>
      </c>
      <c r="M46" s="135">
        <f t="shared" si="27"/>
        <v>10072.197700793213</v>
      </c>
      <c r="N46" s="564">
        <f>SIM_BASE!M116</f>
        <v>25835.221570937527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25.417349849727231</v>
      </c>
      <c r="R46" s="666">
        <f>IF(SIM_BASE!Q116&gt;0,SIM_BASE!Q116,0)</f>
        <v>25.43134984972723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0</v>
      </c>
      <c r="W46" s="666">
        <f>IF(SIM_BASE!Q116&lt;0,-SIM_BASE!Q116,0)</f>
        <v>0</v>
      </c>
      <c r="X46" s="137">
        <f>IF(SIM_BASE!R116&lt;0,-SIM_BASE!R116,0)</f>
        <v>17829.816824444115</v>
      </c>
      <c r="Y46" s="135">
        <f>SIM_BASE!S116</f>
        <v>326748.22461386933</v>
      </c>
      <c r="Z46" s="135">
        <f>SIM_BASE!T116</f>
        <v>110467.27119921341</v>
      </c>
      <c r="AA46" s="135">
        <f>SIM_BASE!U116</f>
        <v>90026.356887115922</v>
      </c>
      <c r="AB46" s="136">
        <f>SIM_BASE!V116</f>
        <v>147226.84671305391</v>
      </c>
      <c r="AC46" s="137">
        <f>SIM_BASE!W116</f>
        <v>10136.570027780323</v>
      </c>
      <c r="AD46" s="565">
        <v>108538.2</v>
      </c>
      <c r="AE46" s="566">
        <f t="shared" si="25"/>
        <v>27.075669352076147</v>
      </c>
      <c r="AF46" s="567">
        <f t="shared" si="26"/>
        <v>3.9247446269708162</v>
      </c>
      <c r="AG46" s="589">
        <f t="shared" si="28"/>
        <v>2492.7846715708856</v>
      </c>
      <c r="AH46" s="375"/>
      <c r="AI46" s="702">
        <f t="shared" si="29"/>
        <v>-7.0737172941295654</v>
      </c>
      <c r="AJ46" s="703">
        <f t="shared" si="30"/>
        <v>10.173421798786023</v>
      </c>
      <c r="AK46" s="703">
        <f t="shared" si="31"/>
        <v>17.952661171671195</v>
      </c>
      <c r="AL46" s="705">
        <f t="shared" si="32"/>
        <v>7.3475402941864303</v>
      </c>
      <c r="AM46" s="504"/>
    </row>
    <row r="47" spans="1:43" x14ac:dyDescent="0.3">
      <c r="B47" s="374"/>
      <c r="C47" s="374"/>
      <c r="F47" s="374"/>
      <c r="G47" s="56" t="s">
        <v>273</v>
      </c>
      <c r="H47" s="458"/>
      <c r="I47" s="374"/>
      <c r="J47" s="374"/>
      <c r="K47" s="374"/>
      <c r="L47" s="374"/>
      <c r="M47" s="374"/>
      <c r="N47" s="374"/>
      <c r="O47" s="458"/>
      <c r="P47" s="458"/>
      <c r="Q47" s="374"/>
      <c r="R47" s="374"/>
      <c r="S47" s="458"/>
      <c r="T47" s="458"/>
      <c r="U47" s="458"/>
      <c r="V47" s="458"/>
      <c r="W47" s="458"/>
      <c r="X47" s="374"/>
      <c r="Y47" s="374"/>
      <c r="Z47" s="374"/>
      <c r="AA47" s="374"/>
      <c r="AB47" s="374"/>
      <c r="AC47" s="374"/>
      <c r="AD47" s="374"/>
      <c r="AE47" s="374"/>
      <c r="AF47" s="374"/>
      <c r="AG47" s="374"/>
      <c r="AH47" s="58"/>
      <c r="AI47" s="58"/>
      <c r="AJ47" s="58"/>
    </row>
    <row r="48" spans="1:43" ht="16.2" thickBot="1" x14ac:dyDescent="0.35">
      <c r="A48" s="362" t="s">
        <v>77</v>
      </c>
      <c r="B48" s="182"/>
      <c r="G48" s="719" t="s">
        <v>274</v>
      </c>
      <c r="H48" s="458"/>
      <c r="M48" s="580"/>
      <c r="Q48" s="458"/>
      <c r="AH48" s="58"/>
      <c r="AI48" s="58"/>
    </row>
    <row r="49" spans="1:35" x14ac:dyDescent="0.3">
      <c r="A49" s="183" t="s">
        <v>78</v>
      </c>
      <c r="B49" s="545">
        <v>1.0793699999999999</v>
      </c>
      <c r="G49" s="361" t="s">
        <v>156</v>
      </c>
      <c r="AH49" s="58"/>
      <c r="AI49" s="58"/>
    </row>
    <row r="50" spans="1:35" x14ac:dyDescent="0.3">
      <c r="A50" s="184" t="s">
        <v>79</v>
      </c>
      <c r="B50" s="546">
        <v>1.0878099999999999</v>
      </c>
      <c r="G50" s="361" t="s">
        <v>159</v>
      </c>
      <c r="AH50" s="58"/>
      <c r="AI50" s="58"/>
    </row>
    <row r="51" spans="1:35" ht="16.2" thickBot="1" x14ac:dyDescent="0.35">
      <c r="A51" s="185" t="s">
        <v>80</v>
      </c>
      <c r="B51" s="547">
        <v>2.1283300000000001</v>
      </c>
      <c r="G51" s="361" t="s">
        <v>160</v>
      </c>
      <c r="AH51" s="58"/>
      <c r="AI51" s="58"/>
    </row>
    <row r="52" spans="1:35" x14ac:dyDescent="0.3">
      <c r="G52" s="361" t="s">
        <v>161</v>
      </c>
      <c r="AH52" s="58"/>
      <c r="AI52" s="58"/>
    </row>
    <row r="53" spans="1:35" ht="16.2" thickBot="1" x14ac:dyDescent="0.35">
      <c r="A53" s="360" t="s">
        <v>81</v>
      </c>
      <c r="B53" s="189"/>
      <c r="C53" s="181"/>
      <c r="D53" s="181"/>
      <c r="AH53" s="58"/>
      <c r="AI53" s="58"/>
    </row>
    <row r="54" spans="1:35" ht="16.2" thickBot="1" x14ac:dyDescent="0.35">
      <c r="A54" s="178"/>
      <c r="B54" s="190" t="s">
        <v>86</v>
      </c>
      <c r="C54" s="190" t="s">
        <v>82</v>
      </c>
      <c r="D54" s="178" t="s">
        <v>83</v>
      </c>
      <c r="H54" s="374"/>
      <c r="AH54" s="58"/>
      <c r="AI54" s="58"/>
    </row>
    <row r="55" spans="1:35" x14ac:dyDescent="0.3">
      <c r="A55" s="191" t="s">
        <v>166</v>
      </c>
      <c r="B55" s="542">
        <v>0.39300000000000002</v>
      </c>
      <c r="D55" s="367"/>
      <c r="H55" s="374"/>
      <c r="AH55" s="58"/>
      <c r="AI55" s="58"/>
    </row>
    <row r="56" spans="1:35" x14ac:dyDescent="0.3">
      <c r="A56" s="191" t="s">
        <v>84</v>
      </c>
      <c r="B56" s="543">
        <v>1.2470000000000001</v>
      </c>
      <c r="C56" s="192"/>
      <c r="D56" s="193"/>
      <c r="H56" s="374"/>
    </row>
    <row r="57" spans="1:35" x14ac:dyDescent="0.3">
      <c r="A57" s="191" t="s">
        <v>87</v>
      </c>
      <c r="B57" s="543">
        <v>1.375</v>
      </c>
      <c r="C57" s="192"/>
      <c r="D57" s="193"/>
      <c r="H57" s="374"/>
    </row>
    <row r="58" spans="1:35" ht="16.2" thickBot="1" x14ac:dyDescent="0.35">
      <c r="A58" s="194" t="s">
        <v>85</v>
      </c>
      <c r="B58" s="544">
        <v>1.5129999999999999</v>
      </c>
      <c r="C58" s="195"/>
      <c r="D58" s="196"/>
      <c r="H58" s="374"/>
    </row>
    <row r="59" spans="1:35" x14ac:dyDescent="0.3">
      <c r="H59" s="374"/>
    </row>
    <row r="60" spans="1:35" ht="16.2" thickBot="1" x14ac:dyDescent="0.35">
      <c r="A60" s="364" t="s">
        <v>212</v>
      </c>
    </row>
    <row r="61" spans="1:35" ht="16.2" thickBot="1" x14ac:dyDescent="0.35">
      <c r="A61" s="505"/>
      <c r="B61" s="507" t="s">
        <v>208</v>
      </c>
      <c r="C61" s="506" t="s">
        <v>211</v>
      </c>
    </row>
    <row r="62" spans="1:35" x14ac:dyDescent="0.3">
      <c r="A62" s="367" t="s">
        <v>40</v>
      </c>
      <c r="B62" s="541">
        <v>3.8</v>
      </c>
      <c r="C62" s="478">
        <v>0.3</v>
      </c>
      <c r="G62" s="459"/>
      <c r="H62" s="459"/>
      <c r="I62" s="459"/>
      <c r="J62" s="459"/>
      <c r="K62" s="459"/>
      <c r="L62" s="459"/>
      <c r="M62" s="459"/>
      <c r="N62" s="459"/>
      <c r="O62" s="245"/>
      <c r="P62" s="245"/>
      <c r="Q62" s="245"/>
      <c r="R62" s="245"/>
      <c r="S62" s="245"/>
      <c r="X62" s="245"/>
      <c r="Y62" s="245"/>
      <c r="Z62" s="245"/>
      <c r="AA62" s="245"/>
      <c r="AB62" s="245"/>
      <c r="AC62" s="245"/>
      <c r="AD62" s="458"/>
      <c r="AE62" s="458"/>
      <c r="AF62" s="458"/>
      <c r="AG62" s="458"/>
      <c r="AH62" s="458"/>
    </row>
    <row r="63" spans="1:35" x14ac:dyDescent="0.3">
      <c r="A63" s="508" t="s">
        <v>41</v>
      </c>
      <c r="B63" s="541">
        <v>3</v>
      </c>
      <c r="C63" s="478">
        <v>0.6</v>
      </c>
      <c r="G63" s="459"/>
      <c r="H63" s="459"/>
      <c r="I63" s="459"/>
      <c r="J63" s="459"/>
      <c r="K63" s="459"/>
      <c r="L63" s="459"/>
      <c r="M63" s="459"/>
      <c r="N63" s="459"/>
      <c r="O63" s="245"/>
      <c r="P63" s="245"/>
      <c r="Q63" s="245"/>
      <c r="R63" s="245"/>
      <c r="S63" s="245"/>
      <c r="X63" s="245"/>
      <c r="Y63" s="245"/>
      <c r="Z63" s="245"/>
      <c r="AA63" s="245"/>
      <c r="AB63" s="245"/>
      <c r="AC63" s="245"/>
    </row>
    <row r="64" spans="1:35" ht="16.2" thickBot="1" x14ac:dyDescent="0.35">
      <c r="A64" s="509" t="s">
        <v>42</v>
      </c>
      <c r="B64" s="486">
        <v>2.8</v>
      </c>
      <c r="C64" s="476">
        <v>0.7</v>
      </c>
    </row>
    <row r="65" spans="1:6" x14ac:dyDescent="0.3">
      <c r="A65" s="361" t="s">
        <v>209</v>
      </c>
      <c r="D65" s="459"/>
      <c r="E65" s="459"/>
      <c r="F65" s="459"/>
    </row>
    <row r="66" spans="1:6" x14ac:dyDescent="0.3">
      <c r="A66" s="361" t="s">
        <v>210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I1" zoomScale="80" zoomScaleNormal="80" workbookViewId="0">
      <selection activeCell="Y19" sqref="Y19"/>
    </sheetView>
  </sheetViews>
  <sheetFormatPr defaultRowHeight="15.6" x14ac:dyDescent="0.3"/>
  <cols>
    <col min="1" max="16384" width="8.796875" style="288"/>
  </cols>
  <sheetData>
    <row r="5" spans="16:16" x14ac:dyDescent="0.3">
      <c r="P5" s="225"/>
    </row>
    <row r="6" spans="16:16" x14ac:dyDescent="0.3">
      <c r="P6" s="225"/>
    </row>
    <row r="18" spans="1:10" x14ac:dyDescent="0.3">
      <c r="A18" s="225" t="s">
        <v>149</v>
      </c>
      <c r="B18" s="225"/>
    </row>
    <row r="19" spans="1:10" x14ac:dyDescent="0.3">
      <c r="A19" s="225" t="s">
        <v>150</v>
      </c>
      <c r="B19" s="225"/>
    </row>
    <row r="20" spans="1:10" x14ac:dyDescent="0.3">
      <c r="A20" s="225" t="s">
        <v>151</v>
      </c>
      <c r="B20" s="225"/>
    </row>
    <row r="24" spans="1:10" x14ac:dyDescent="0.3">
      <c r="I24" s="225" t="s">
        <v>152</v>
      </c>
      <c r="J24" s="225"/>
    </row>
    <row r="25" spans="1:10" x14ac:dyDescent="0.3">
      <c r="I25" s="225" t="s">
        <v>153</v>
      </c>
      <c r="J25" s="225"/>
    </row>
    <row r="26" spans="1:10" x14ac:dyDescent="0.3">
      <c r="I26" s="225" t="s">
        <v>154</v>
      </c>
      <c r="J26" s="225"/>
    </row>
    <row r="27" spans="1:10" x14ac:dyDescent="0.3">
      <c r="I27" s="225" t="s">
        <v>155</v>
      </c>
      <c r="J27" s="225"/>
    </row>
    <row r="28" spans="1:10" x14ac:dyDescent="0.3">
      <c r="I28" s="225" t="s">
        <v>229</v>
      </c>
      <c r="J28" s="2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2"/>
  <sheetViews>
    <sheetView zoomScale="80" zoomScaleNormal="80" workbookViewId="0">
      <pane xSplit="3" ySplit="6" topLeftCell="AH37" activePane="bottomRight" state="frozen"/>
      <selection pane="topRight" activeCell="D1" sqref="D1"/>
      <selection pane="bottomLeft" activeCell="A7" sqref="A7"/>
      <selection pane="bottomRight" activeCell="E2" sqref="E2"/>
    </sheetView>
  </sheetViews>
  <sheetFormatPr defaultRowHeight="15.6" x14ac:dyDescent="0.3"/>
  <cols>
    <col min="1" max="1" width="8.3984375" style="181" customWidth="1"/>
    <col min="2" max="2" width="6.59765625" style="181" bestFit="1" customWidth="1"/>
    <col min="3" max="3" width="5.3984375" style="181" bestFit="1" customWidth="1"/>
    <col min="4" max="5" width="7.8984375" style="181" bestFit="1" customWidth="1"/>
    <col min="6" max="6" width="6.8984375" style="181" customWidth="1"/>
    <col min="7" max="7" width="10.3984375" style="181" bestFit="1" customWidth="1"/>
    <col min="8" max="8" width="7.3984375" style="181" customWidth="1"/>
    <col min="9" max="9" width="7.8984375" style="181" bestFit="1" customWidth="1"/>
    <col min="10" max="10" width="6.3984375" style="181" bestFit="1" customWidth="1"/>
    <col min="11" max="12" width="6.8984375" style="181" bestFit="1" customWidth="1"/>
    <col min="13" max="13" width="6.3984375" style="181" bestFit="1" customWidth="1"/>
    <col min="14" max="14" width="6.8984375" style="181" bestFit="1" customWidth="1"/>
    <col min="15" max="15" width="6.8984375" style="181" customWidth="1"/>
    <col min="16" max="16" width="6.8984375" style="181" bestFit="1" customWidth="1"/>
    <col min="17" max="17" width="5.3984375" style="181" customWidth="1"/>
    <col min="18" max="18" width="5.5" style="181" customWidth="1"/>
    <col min="19" max="19" width="5.3984375" style="181" customWidth="1"/>
    <col min="20" max="20" width="6" style="181" customWidth="1"/>
    <col min="21" max="21" width="5.09765625" style="181" customWidth="1"/>
    <col min="22" max="22" width="5.8984375" style="181" customWidth="1"/>
    <col min="23" max="23" width="7.3984375" style="181" customWidth="1"/>
    <col min="24" max="27" width="6.3984375" style="181" customWidth="1"/>
    <col min="28" max="28" width="7.3984375" style="288" customWidth="1"/>
    <col min="29" max="29" width="6.3984375" style="288" customWidth="1"/>
    <col min="30" max="30" width="6.09765625" style="181" customWidth="1"/>
    <col min="31" max="31" width="4.796875" style="181" customWidth="1"/>
    <col min="32" max="32" width="6.09765625" style="181" customWidth="1"/>
    <col min="33" max="33" width="5.3984375" style="181" customWidth="1"/>
    <col min="34" max="34" width="6.09765625" style="181" customWidth="1"/>
    <col min="35" max="35" width="5.8984375" style="181" customWidth="1"/>
    <col min="36" max="37" width="5.8984375" style="288" customWidth="1"/>
    <col min="38" max="38" width="6.09765625" style="181" customWidth="1"/>
    <col min="39" max="39" width="4.796875" style="181" customWidth="1"/>
    <col min="40" max="40" width="6.09765625" style="181" customWidth="1"/>
    <col min="41" max="41" width="4.796875" style="181" customWidth="1"/>
    <col min="42" max="42" width="6.09765625" style="181" customWidth="1"/>
    <col min="43" max="43" width="5.8984375" style="181" customWidth="1"/>
    <col min="44" max="44" width="6.09765625" style="181" customWidth="1"/>
    <col min="45" max="45" width="4.8984375" style="181" customWidth="1"/>
    <col min="46" max="46" width="6.09765625" style="181" customWidth="1"/>
    <col min="47" max="47" width="4.8984375" style="181" customWidth="1"/>
    <col min="48" max="48" width="6.09765625" style="181" customWidth="1"/>
    <col min="49" max="49" width="5.3984375" style="181" customWidth="1"/>
    <col min="50" max="50" width="5.3984375" style="224" hidden="1" customWidth="1"/>
    <col min="51" max="51" width="5.3984375" style="1" hidden="1" customWidth="1"/>
    <col min="52" max="52" width="5.3984375" style="224" hidden="1" customWidth="1"/>
    <col min="53" max="53" width="5.3984375" style="181" hidden="1" customWidth="1"/>
    <col min="54" max="54" width="4.69921875" style="181" hidden="1" customWidth="1"/>
    <col min="55" max="55" width="4.796875" style="181" hidden="1" customWidth="1"/>
    <col min="56" max="56" width="5.19921875" style="181" hidden="1" customWidth="1"/>
    <col min="57" max="57" width="5.3984375" style="181" hidden="1" customWidth="1"/>
    <col min="58" max="60" width="5.8984375" style="181" hidden="1" customWidth="1"/>
    <col min="61" max="61" width="6.796875" style="181" bestFit="1" customWidth="1"/>
    <col min="62" max="62" width="5.8984375" style="181" bestFit="1" customWidth="1"/>
    <col min="63" max="260" width="8.796875" style="181"/>
    <col min="261" max="261" width="8.3984375" style="181" customWidth="1"/>
    <col min="262" max="262" width="7" style="181" customWidth="1"/>
    <col min="263" max="263" width="5.3984375" style="181" bestFit="1" customWidth="1"/>
    <col min="264" max="264" width="6.8984375" style="181" bestFit="1" customWidth="1"/>
    <col min="265" max="265" width="7.8984375" style="181" bestFit="1" customWidth="1"/>
    <col min="266" max="267" width="6.8984375" style="181" customWidth="1"/>
    <col min="268" max="268" width="8.59765625" style="181" customWidth="1"/>
    <col min="269" max="269" width="9.09765625" style="181" customWidth="1"/>
    <col min="270" max="270" width="5.8984375" style="181" bestFit="1" customWidth="1"/>
    <col min="271" max="271" width="6.3984375" style="181" bestFit="1" customWidth="1"/>
    <col min="272" max="272" width="5.69921875" style="181" bestFit="1" customWidth="1"/>
    <col min="273" max="273" width="4.8984375" style="181" bestFit="1" customWidth="1"/>
    <col min="274" max="274" width="5.69921875" style="181" bestFit="1" customWidth="1"/>
    <col min="275" max="275" width="4.8984375" style="181" bestFit="1" customWidth="1"/>
    <col min="276" max="276" width="4.3984375" style="181" bestFit="1" customWidth="1"/>
    <col min="277" max="277" width="5.3984375" style="181" bestFit="1" customWidth="1"/>
    <col min="278" max="278" width="5.5" style="181" customWidth="1"/>
    <col min="279" max="279" width="5.3984375" style="181" bestFit="1" customWidth="1"/>
    <col min="280" max="280" width="6" style="181" customWidth="1"/>
    <col min="281" max="281" width="5.09765625" style="181" customWidth="1"/>
    <col min="282" max="282" width="5.8984375" style="181" customWidth="1"/>
    <col min="283" max="283" width="7.3984375" style="181" bestFit="1" customWidth="1"/>
    <col min="284" max="285" width="6.3984375" style="181" bestFit="1" customWidth="1"/>
    <col min="286" max="295" width="6.3984375" style="181" customWidth="1"/>
    <col min="296" max="296" width="7.19921875" style="181" bestFit="1" customWidth="1"/>
    <col min="297" max="297" width="4.59765625" style="181" bestFit="1" customWidth="1"/>
    <col min="298" max="298" width="6.69921875" style="181" customWidth="1"/>
    <col min="299" max="299" width="5.8984375" style="181" bestFit="1" customWidth="1"/>
    <col min="300" max="300" width="5.69921875" style="181" bestFit="1" customWidth="1"/>
    <col min="301" max="301" width="4.8984375" style="181" bestFit="1" customWidth="1"/>
    <col min="302" max="302" width="5.69921875" style="181" bestFit="1" customWidth="1"/>
    <col min="303" max="303" width="4.8984375" style="181" bestFit="1" customWidth="1"/>
    <col min="304" max="304" width="5.69921875" style="181" bestFit="1" customWidth="1"/>
    <col min="305" max="305" width="5.3984375" style="181" bestFit="1" customWidth="1"/>
    <col min="306" max="306" width="6.3984375" style="181" bestFit="1" customWidth="1"/>
    <col min="307" max="307" width="8.8984375" style="181" customWidth="1"/>
    <col min="308" max="318" width="5.8984375" style="181" bestFit="1" customWidth="1"/>
    <col min="319" max="516" width="8.796875" style="181"/>
    <col min="517" max="517" width="8.3984375" style="181" customWidth="1"/>
    <col min="518" max="518" width="7" style="181" customWidth="1"/>
    <col min="519" max="519" width="5.3984375" style="181" bestFit="1" customWidth="1"/>
    <col min="520" max="520" width="6.8984375" style="181" bestFit="1" customWidth="1"/>
    <col min="521" max="521" width="7.8984375" style="181" bestFit="1" customWidth="1"/>
    <col min="522" max="523" width="6.8984375" style="181" customWidth="1"/>
    <col min="524" max="524" width="8.59765625" style="181" customWidth="1"/>
    <col min="525" max="525" width="9.09765625" style="181" customWidth="1"/>
    <col min="526" max="526" width="5.8984375" style="181" bestFit="1" customWidth="1"/>
    <col min="527" max="527" width="6.3984375" style="181" bestFit="1" customWidth="1"/>
    <col min="528" max="528" width="5.69921875" style="181" bestFit="1" customWidth="1"/>
    <col min="529" max="529" width="4.8984375" style="181" bestFit="1" customWidth="1"/>
    <col min="530" max="530" width="5.69921875" style="181" bestFit="1" customWidth="1"/>
    <col min="531" max="531" width="4.8984375" style="181" bestFit="1" customWidth="1"/>
    <col min="532" max="532" width="4.3984375" style="181" bestFit="1" customWidth="1"/>
    <col min="533" max="533" width="5.3984375" style="181" bestFit="1" customWidth="1"/>
    <col min="534" max="534" width="5.5" style="181" customWidth="1"/>
    <col min="535" max="535" width="5.3984375" style="181" bestFit="1" customWidth="1"/>
    <col min="536" max="536" width="6" style="181" customWidth="1"/>
    <col min="537" max="537" width="5.09765625" style="181" customWidth="1"/>
    <col min="538" max="538" width="5.8984375" style="181" customWidth="1"/>
    <col min="539" max="539" width="7.3984375" style="181" bestFit="1" customWidth="1"/>
    <col min="540" max="541" width="6.3984375" style="181" bestFit="1" customWidth="1"/>
    <col min="542" max="551" width="6.3984375" style="181" customWidth="1"/>
    <col min="552" max="552" width="7.19921875" style="181" bestFit="1" customWidth="1"/>
    <col min="553" max="553" width="4.59765625" style="181" bestFit="1" customWidth="1"/>
    <col min="554" max="554" width="6.69921875" style="181" customWidth="1"/>
    <col min="555" max="555" width="5.8984375" style="181" bestFit="1" customWidth="1"/>
    <col min="556" max="556" width="5.69921875" style="181" bestFit="1" customWidth="1"/>
    <col min="557" max="557" width="4.8984375" style="181" bestFit="1" customWidth="1"/>
    <col min="558" max="558" width="5.69921875" style="181" bestFit="1" customWidth="1"/>
    <col min="559" max="559" width="4.8984375" style="181" bestFit="1" customWidth="1"/>
    <col min="560" max="560" width="5.69921875" style="181" bestFit="1" customWidth="1"/>
    <col min="561" max="561" width="5.3984375" style="181" bestFit="1" customWidth="1"/>
    <col min="562" max="562" width="6.3984375" style="181" bestFit="1" customWidth="1"/>
    <col min="563" max="563" width="8.8984375" style="181" customWidth="1"/>
    <col min="564" max="574" width="5.8984375" style="181" bestFit="1" customWidth="1"/>
    <col min="575" max="772" width="8.796875" style="181"/>
    <col min="773" max="773" width="8.3984375" style="181" customWidth="1"/>
    <col min="774" max="774" width="7" style="181" customWidth="1"/>
    <col min="775" max="775" width="5.3984375" style="181" bestFit="1" customWidth="1"/>
    <col min="776" max="776" width="6.8984375" style="181" bestFit="1" customWidth="1"/>
    <col min="777" max="777" width="7.8984375" style="181" bestFit="1" customWidth="1"/>
    <col min="778" max="779" width="6.8984375" style="181" customWidth="1"/>
    <col min="780" max="780" width="8.59765625" style="181" customWidth="1"/>
    <col min="781" max="781" width="9.09765625" style="181" customWidth="1"/>
    <col min="782" max="782" width="5.8984375" style="181" bestFit="1" customWidth="1"/>
    <col min="783" max="783" width="6.3984375" style="181" bestFit="1" customWidth="1"/>
    <col min="784" max="784" width="5.69921875" style="181" bestFit="1" customWidth="1"/>
    <col min="785" max="785" width="4.8984375" style="181" bestFit="1" customWidth="1"/>
    <col min="786" max="786" width="5.69921875" style="181" bestFit="1" customWidth="1"/>
    <col min="787" max="787" width="4.8984375" style="181" bestFit="1" customWidth="1"/>
    <col min="788" max="788" width="4.3984375" style="181" bestFit="1" customWidth="1"/>
    <col min="789" max="789" width="5.3984375" style="181" bestFit="1" customWidth="1"/>
    <col min="790" max="790" width="5.5" style="181" customWidth="1"/>
    <col min="791" max="791" width="5.3984375" style="181" bestFit="1" customWidth="1"/>
    <col min="792" max="792" width="6" style="181" customWidth="1"/>
    <col min="793" max="793" width="5.09765625" style="181" customWidth="1"/>
    <col min="794" max="794" width="5.8984375" style="181" customWidth="1"/>
    <col min="795" max="795" width="7.3984375" style="181" bestFit="1" customWidth="1"/>
    <col min="796" max="797" width="6.3984375" style="181" bestFit="1" customWidth="1"/>
    <col min="798" max="807" width="6.3984375" style="181" customWidth="1"/>
    <col min="808" max="808" width="7.19921875" style="181" bestFit="1" customWidth="1"/>
    <col min="809" max="809" width="4.59765625" style="181" bestFit="1" customWidth="1"/>
    <col min="810" max="810" width="6.69921875" style="181" customWidth="1"/>
    <col min="811" max="811" width="5.8984375" style="181" bestFit="1" customWidth="1"/>
    <col min="812" max="812" width="5.69921875" style="181" bestFit="1" customWidth="1"/>
    <col min="813" max="813" width="4.8984375" style="181" bestFit="1" customWidth="1"/>
    <col min="814" max="814" width="5.69921875" style="181" bestFit="1" customWidth="1"/>
    <col min="815" max="815" width="4.8984375" style="181" bestFit="1" customWidth="1"/>
    <col min="816" max="816" width="5.69921875" style="181" bestFit="1" customWidth="1"/>
    <col min="817" max="817" width="5.3984375" style="181" bestFit="1" customWidth="1"/>
    <col min="818" max="818" width="6.3984375" style="181" bestFit="1" customWidth="1"/>
    <col min="819" max="819" width="8.8984375" style="181" customWidth="1"/>
    <col min="820" max="830" width="5.8984375" style="181" bestFit="1" customWidth="1"/>
    <col min="831" max="1028" width="8.796875" style="181"/>
    <col min="1029" max="1029" width="8.3984375" style="181" customWidth="1"/>
    <col min="1030" max="1030" width="7" style="181" customWidth="1"/>
    <col min="1031" max="1031" width="5.3984375" style="181" bestFit="1" customWidth="1"/>
    <col min="1032" max="1032" width="6.8984375" style="181" bestFit="1" customWidth="1"/>
    <col min="1033" max="1033" width="7.8984375" style="181" bestFit="1" customWidth="1"/>
    <col min="1034" max="1035" width="6.8984375" style="181" customWidth="1"/>
    <col min="1036" max="1036" width="8.59765625" style="181" customWidth="1"/>
    <col min="1037" max="1037" width="9.09765625" style="181" customWidth="1"/>
    <col min="1038" max="1038" width="5.8984375" style="181" bestFit="1" customWidth="1"/>
    <col min="1039" max="1039" width="6.3984375" style="181" bestFit="1" customWidth="1"/>
    <col min="1040" max="1040" width="5.69921875" style="181" bestFit="1" customWidth="1"/>
    <col min="1041" max="1041" width="4.8984375" style="181" bestFit="1" customWidth="1"/>
    <col min="1042" max="1042" width="5.69921875" style="181" bestFit="1" customWidth="1"/>
    <col min="1043" max="1043" width="4.8984375" style="181" bestFit="1" customWidth="1"/>
    <col min="1044" max="1044" width="4.3984375" style="181" bestFit="1" customWidth="1"/>
    <col min="1045" max="1045" width="5.3984375" style="181" bestFit="1" customWidth="1"/>
    <col min="1046" max="1046" width="5.5" style="181" customWidth="1"/>
    <col min="1047" max="1047" width="5.3984375" style="181" bestFit="1" customWidth="1"/>
    <col min="1048" max="1048" width="6" style="181" customWidth="1"/>
    <col min="1049" max="1049" width="5.09765625" style="181" customWidth="1"/>
    <col min="1050" max="1050" width="5.8984375" style="181" customWidth="1"/>
    <col min="1051" max="1051" width="7.3984375" style="181" bestFit="1" customWidth="1"/>
    <col min="1052" max="1053" width="6.3984375" style="181" bestFit="1" customWidth="1"/>
    <col min="1054" max="1063" width="6.3984375" style="181" customWidth="1"/>
    <col min="1064" max="1064" width="7.19921875" style="181" bestFit="1" customWidth="1"/>
    <col min="1065" max="1065" width="4.59765625" style="181" bestFit="1" customWidth="1"/>
    <col min="1066" max="1066" width="6.69921875" style="181" customWidth="1"/>
    <col min="1067" max="1067" width="5.8984375" style="181" bestFit="1" customWidth="1"/>
    <col min="1068" max="1068" width="5.69921875" style="181" bestFit="1" customWidth="1"/>
    <col min="1069" max="1069" width="4.8984375" style="181" bestFit="1" customWidth="1"/>
    <col min="1070" max="1070" width="5.69921875" style="181" bestFit="1" customWidth="1"/>
    <col min="1071" max="1071" width="4.8984375" style="181" bestFit="1" customWidth="1"/>
    <col min="1072" max="1072" width="5.69921875" style="181" bestFit="1" customWidth="1"/>
    <col min="1073" max="1073" width="5.3984375" style="181" bestFit="1" customWidth="1"/>
    <col min="1074" max="1074" width="6.3984375" style="181" bestFit="1" customWidth="1"/>
    <col min="1075" max="1075" width="8.8984375" style="181" customWidth="1"/>
    <col min="1076" max="1086" width="5.8984375" style="181" bestFit="1" customWidth="1"/>
    <col min="1087" max="1284" width="8.796875" style="181"/>
    <col min="1285" max="1285" width="8.3984375" style="181" customWidth="1"/>
    <col min="1286" max="1286" width="7" style="181" customWidth="1"/>
    <col min="1287" max="1287" width="5.3984375" style="181" bestFit="1" customWidth="1"/>
    <col min="1288" max="1288" width="6.8984375" style="181" bestFit="1" customWidth="1"/>
    <col min="1289" max="1289" width="7.8984375" style="181" bestFit="1" customWidth="1"/>
    <col min="1290" max="1291" width="6.8984375" style="181" customWidth="1"/>
    <col min="1292" max="1292" width="8.59765625" style="181" customWidth="1"/>
    <col min="1293" max="1293" width="9.09765625" style="181" customWidth="1"/>
    <col min="1294" max="1294" width="5.8984375" style="181" bestFit="1" customWidth="1"/>
    <col min="1295" max="1295" width="6.3984375" style="181" bestFit="1" customWidth="1"/>
    <col min="1296" max="1296" width="5.69921875" style="181" bestFit="1" customWidth="1"/>
    <col min="1297" max="1297" width="4.8984375" style="181" bestFit="1" customWidth="1"/>
    <col min="1298" max="1298" width="5.69921875" style="181" bestFit="1" customWidth="1"/>
    <col min="1299" max="1299" width="4.8984375" style="181" bestFit="1" customWidth="1"/>
    <col min="1300" max="1300" width="4.3984375" style="181" bestFit="1" customWidth="1"/>
    <col min="1301" max="1301" width="5.3984375" style="181" bestFit="1" customWidth="1"/>
    <col min="1302" max="1302" width="5.5" style="181" customWidth="1"/>
    <col min="1303" max="1303" width="5.3984375" style="181" bestFit="1" customWidth="1"/>
    <col min="1304" max="1304" width="6" style="181" customWidth="1"/>
    <col min="1305" max="1305" width="5.09765625" style="181" customWidth="1"/>
    <col min="1306" max="1306" width="5.8984375" style="181" customWidth="1"/>
    <col min="1307" max="1307" width="7.3984375" style="181" bestFit="1" customWidth="1"/>
    <col min="1308" max="1309" width="6.3984375" style="181" bestFit="1" customWidth="1"/>
    <col min="1310" max="1319" width="6.3984375" style="181" customWidth="1"/>
    <col min="1320" max="1320" width="7.19921875" style="181" bestFit="1" customWidth="1"/>
    <col min="1321" max="1321" width="4.59765625" style="181" bestFit="1" customWidth="1"/>
    <col min="1322" max="1322" width="6.69921875" style="181" customWidth="1"/>
    <col min="1323" max="1323" width="5.8984375" style="181" bestFit="1" customWidth="1"/>
    <col min="1324" max="1324" width="5.69921875" style="181" bestFit="1" customWidth="1"/>
    <col min="1325" max="1325" width="4.8984375" style="181" bestFit="1" customWidth="1"/>
    <col min="1326" max="1326" width="5.69921875" style="181" bestFit="1" customWidth="1"/>
    <col min="1327" max="1327" width="4.8984375" style="181" bestFit="1" customWidth="1"/>
    <col min="1328" max="1328" width="5.69921875" style="181" bestFit="1" customWidth="1"/>
    <col min="1329" max="1329" width="5.3984375" style="181" bestFit="1" customWidth="1"/>
    <col min="1330" max="1330" width="6.3984375" style="181" bestFit="1" customWidth="1"/>
    <col min="1331" max="1331" width="8.8984375" style="181" customWidth="1"/>
    <col min="1332" max="1342" width="5.8984375" style="181" bestFit="1" customWidth="1"/>
    <col min="1343" max="1540" width="8.796875" style="181"/>
    <col min="1541" max="1541" width="8.3984375" style="181" customWidth="1"/>
    <col min="1542" max="1542" width="7" style="181" customWidth="1"/>
    <col min="1543" max="1543" width="5.3984375" style="181" bestFit="1" customWidth="1"/>
    <col min="1544" max="1544" width="6.8984375" style="181" bestFit="1" customWidth="1"/>
    <col min="1545" max="1545" width="7.8984375" style="181" bestFit="1" customWidth="1"/>
    <col min="1546" max="1547" width="6.8984375" style="181" customWidth="1"/>
    <col min="1548" max="1548" width="8.59765625" style="181" customWidth="1"/>
    <col min="1549" max="1549" width="9.09765625" style="181" customWidth="1"/>
    <col min="1550" max="1550" width="5.8984375" style="181" bestFit="1" customWidth="1"/>
    <col min="1551" max="1551" width="6.3984375" style="181" bestFit="1" customWidth="1"/>
    <col min="1552" max="1552" width="5.69921875" style="181" bestFit="1" customWidth="1"/>
    <col min="1553" max="1553" width="4.8984375" style="181" bestFit="1" customWidth="1"/>
    <col min="1554" max="1554" width="5.69921875" style="181" bestFit="1" customWidth="1"/>
    <col min="1555" max="1555" width="4.8984375" style="181" bestFit="1" customWidth="1"/>
    <col min="1556" max="1556" width="4.3984375" style="181" bestFit="1" customWidth="1"/>
    <col min="1557" max="1557" width="5.3984375" style="181" bestFit="1" customWidth="1"/>
    <col min="1558" max="1558" width="5.5" style="181" customWidth="1"/>
    <col min="1559" max="1559" width="5.3984375" style="181" bestFit="1" customWidth="1"/>
    <col min="1560" max="1560" width="6" style="181" customWidth="1"/>
    <col min="1561" max="1561" width="5.09765625" style="181" customWidth="1"/>
    <col min="1562" max="1562" width="5.8984375" style="181" customWidth="1"/>
    <col min="1563" max="1563" width="7.3984375" style="181" bestFit="1" customWidth="1"/>
    <col min="1564" max="1565" width="6.3984375" style="181" bestFit="1" customWidth="1"/>
    <col min="1566" max="1575" width="6.3984375" style="181" customWidth="1"/>
    <col min="1576" max="1576" width="7.19921875" style="181" bestFit="1" customWidth="1"/>
    <col min="1577" max="1577" width="4.59765625" style="181" bestFit="1" customWidth="1"/>
    <col min="1578" max="1578" width="6.69921875" style="181" customWidth="1"/>
    <col min="1579" max="1579" width="5.8984375" style="181" bestFit="1" customWidth="1"/>
    <col min="1580" max="1580" width="5.69921875" style="181" bestFit="1" customWidth="1"/>
    <col min="1581" max="1581" width="4.8984375" style="181" bestFit="1" customWidth="1"/>
    <col min="1582" max="1582" width="5.69921875" style="181" bestFit="1" customWidth="1"/>
    <col min="1583" max="1583" width="4.8984375" style="181" bestFit="1" customWidth="1"/>
    <col min="1584" max="1584" width="5.69921875" style="181" bestFit="1" customWidth="1"/>
    <col min="1585" max="1585" width="5.3984375" style="181" bestFit="1" customWidth="1"/>
    <col min="1586" max="1586" width="6.3984375" style="181" bestFit="1" customWidth="1"/>
    <col min="1587" max="1587" width="8.8984375" style="181" customWidth="1"/>
    <col min="1588" max="1598" width="5.8984375" style="181" bestFit="1" customWidth="1"/>
    <col min="1599" max="1796" width="8.796875" style="181"/>
    <col min="1797" max="1797" width="8.3984375" style="181" customWidth="1"/>
    <col min="1798" max="1798" width="7" style="181" customWidth="1"/>
    <col min="1799" max="1799" width="5.3984375" style="181" bestFit="1" customWidth="1"/>
    <col min="1800" max="1800" width="6.8984375" style="181" bestFit="1" customWidth="1"/>
    <col min="1801" max="1801" width="7.8984375" style="181" bestFit="1" customWidth="1"/>
    <col min="1802" max="1803" width="6.8984375" style="181" customWidth="1"/>
    <col min="1804" max="1804" width="8.59765625" style="181" customWidth="1"/>
    <col min="1805" max="1805" width="9.09765625" style="181" customWidth="1"/>
    <col min="1806" max="1806" width="5.8984375" style="181" bestFit="1" customWidth="1"/>
    <col min="1807" max="1807" width="6.3984375" style="181" bestFit="1" customWidth="1"/>
    <col min="1808" max="1808" width="5.69921875" style="181" bestFit="1" customWidth="1"/>
    <col min="1809" max="1809" width="4.8984375" style="181" bestFit="1" customWidth="1"/>
    <col min="1810" max="1810" width="5.69921875" style="181" bestFit="1" customWidth="1"/>
    <col min="1811" max="1811" width="4.8984375" style="181" bestFit="1" customWidth="1"/>
    <col min="1812" max="1812" width="4.3984375" style="181" bestFit="1" customWidth="1"/>
    <col min="1813" max="1813" width="5.3984375" style="181" bestFit="1" customWidth="1"/>
    <col min="1814" max="1814" width="5.5" style="181" customWidth="1"/>
    <col min="1815" max="1815" width="5.3984375" style="181" bestFit="1" customWidth="1"/>
    <col min="1816" max="1816" width="6" style="181" customWidth="1"/>
    <col min="1817" max="1817" width="5.09765625" style="181" customWidth="1"/>
    <col min="1818" max="1818" width="5.8984375" style="181" customWidth="1"/>
    <col min="1819" max="1819" width="7.3984375" style="181" bestFit="1" customWidth="1"/>
    <col min="1820" max="1821" width="6.3984375" style="181" bestFit="1" customWidth="1"/>
    <col min="1822" max="1831" width="6.3984375" style="181" customWidth="1"/>
    <col min="1832" max="1832" width="7.19921875" style="181" bestFit="1" customWidth="1"/>
    <col min="1833" max="1833" width="4.59765625" style="181" bestFit="1" customWidth="1"/>
    <col min="1834" max="1834" width="6.69921875" style="181" customWidth="1"/>
    <col min="1835" max="1835" width="5.8984375" style="181" bestFit="1" customWidth="1"/>
    <col min="1836" max="1836" width="5.69921875" style="181" bestFit="1" customWidth="1"/>
    <col min="1837" max="1837" width="4.8984375" style="181" bestFit="1" customWidth="1"/>
    <col min="1838" max="1838" width="5.69921875" style="181" bestFit="1" customWidth="1"/>
    <col min="1839" max="1839" width="4.8984375" style="181" bestFit="1" customWidth="1"/>
    <col min="1840" max="1840" width="5.69921875" style="181" bestFit="1" customWidth="1"/>
    <col min="1841" max="1841" width="5.3984375" style="181" bestFit="1" customWidth="1"/>
    <col min="1842" max="1842" width="6.3984375" style="181" bestFit="1" customWidth="1"/>
    <col min="1843" max="1843" width="8.8984375" style="181" customWidth="1"/>
    <col min="1844" max="1854" width="5.8984375" style="181" bestFit="1" customWidth="1"/>
    <col min="1855" max="2052" width="8.796875" style="181"/>
    <col min="2053" max="2053" width="8.3984375" style="181" customWidth="1"/>
    <col min="2054" max="2054" width="7" style="181" customWidth="1"/>
    <col min="2055" max="2055" width="5.3984375" style="181" bestFit="1" customWidth="1"/>
    <col min="2056" max="2056" width="6.8984375" style="181" bestFit="1" customWidth="1"/>
    <col min="2057" max="2057" width="7.8984375" style="181" bestFit="1" customWidth="1"/>
    <col min="2058" max="2059" width="6.8984375" style="181" customWidth="1"/>
    <col min="2060" max="2060" width="8.59765625" style="181" customWidth="1"/>
    <col min="2061" max="2061" width="9.09765625" style="181" customWidth="1"/>
    <col min="2062" max="2062" width="5.8984375" style="181" bestFit="1" customWidth="1"/>
    <col min="2063" max="2063" width="6.3984375" style="181" bestFit="1" customWidth="1"/>
    <col min="2064" max="2064" width="5.69921875" style="181" bestFit="1" customWidth="1"/>
    <col min="2065" max="2065" width="4.8984375" style="181" bestFit="1" customWidth="1"/>
    <col min="2066" max="2066" width="5.69921875" style="181" bestFit="1" customWidth="1"/>
    <col min="2067" max="2067" width="4.8984375" style="181" bestFit="1" customWidth="1"/>
    <col min="2068" max="2068" width="4.3984375" style="181" bestFit="1" customWidth="1"/>
    <col min="2069" max="2069" width="5.3984375" style="181" bestFit="1" customWidth="1"/>
    <col min="2070" max="2070" width="5.5" style="181" customWidth="1"/>
    <col min="2071" max="2071" width="5.3984375" style="181" bestFit="1" customWidth="1"/>
    <col min="2072" max="2072" width="6" style="181" customWidth="1"/>
    <col min="2073" max="2073" width="5.09765625" style="181" customWidth="1"/>
    <col min="2074" max="2074" width="5.8984375" style="181" customWidth="1"/>
    <col min="2075" max="2075" width="7.3984375" style="181" bestFit="1" customWidth="1"/>
    <col min="2076" max="2077" width="6.3984375" style="181" bestFit="1" customWidth="1"/>
    <col min="2078" max="2087" width="6.3984375" style="181" customWidth="1"/>
    <col min="2088" max="2088" width="7.19921875" style="181" bestFit="1" customWidth="1"/>
    <col min="2089" max="2089" width="4.59765625" style="181" bestFit="1" customWidth="1"/>
    <col min="2090" max="2090" width="6.69921875" style="181" customWidth="1"/>
    <col min="2091" max="2091" width="5.8984375" style="181" bestFit="1" customWidth="1"/>
    <col min="2092" max="2092" width="5.69921875" style="181" bestFit="1" customWidth="1"/>
    <col min="2093" max="2093" width="4.8984375" style="181" bestFit="1" customWidth="1"/>
    <col min="2094" max="2094" width="5.69921875" style="181" bestFit="1" customWidth="1"/>
    <col min="2095" max="2095" width="4.8984375" style="181" bestFit="1" customWidth="1"/>
    <col min="2096" max="2096" width="5.69921875" style="181" bestFit="1" customWidth="1"/>
    <col min="2097" max="2097" width="5.3984375" style="181" bestFit="1" customWidth="1"/>
    <col min="2098" max="2098" width="6.3984375" style="181" bestFit="1" customWidth="1"/>
    <col min="2099" max="2099" width="8.8984375" style="181" customWidth="1"/>
    <col min="2100" max="2110" width="5.8984375" style="181" bestFit="1" customWidth="1"/>
    <col min="2111" max="2308" width="8.796875" style="181"/>
    <col min="2309" max="2309" width="8.3984375" style="181" customWidth="1"/>
    <col min="2310" max="2310" width="7" style="181" customWidth="1"/>
    <col min="2311" max="2311" width="5.3984375" style="181" bestFit="1" customWidth="1"/>
    <col min="2312" max="2312" width="6.8984375" style="181" bestFit="1" customWidth="1"/>
    <col min="2313" max="2313" width="7.8984375" style="181" bestFit="1" customWidth="1"/>
    <col min="2314" max="2315" width="6.8984375" style="181" customWidth="1"/>
    <col min="2316" max="2316" width="8.59765625" style="181" customWidth="1"/>
    <col min="2317" max="2317" width="9.09765625" style="181" customWidth="1"/>
    <col min="2318" max="2318" width="5.8984375" style="181" bestFit="1" customWidth="1"/>
    <col min="2319" max="2319" width="6.3984375" style="181" bestFit="1" customWidth="1"/>
    <col min="2320" max="2320" width="5.69921875" style="181" bestFit="1" customWidth="1"/>
    <col min="2321" max="2321" width="4.8984375" style="181" bestFit="1" customWidth="1"/>
    <col min="2322" max="2322" width="5.69921875" style="181" bestFit="1" customWidth="1"/>
    <col min="2323" max="2323" width="4.8984375" style="181" bestFit="1" customWidth="1"/>
    <col min="2324" max="2324" width="4.3984375" style="181" bestFit="1" customWidth="1"/>
    <col min="2325" max="2325" width="5.3984375" style="181" bestFit="1" customWidth="1"/>
    <col min="2326" max="2326" width="5.5" style="181" customWidth="1"/>
    <col min="2327" max="2327" width="5.3984375" style="181" bestFit="1" customWidth="1"/>
    <col min="2328" max="2328" width="6" style="181" customWidth="1"/>
    <col min="2329" max="2329" width="5.09765625" style="181" customWidth="1"/>
    <col min="2330" max="2330" width="5.8984375" style="181" customWidth="1"/>
    <col min="2331" max="2331" width="7.3984375" style="181" bestFit="1" customWidth="1"/>
    <col min="2332" max="2333" width="6.3984375" style="181" bestFit="1" customWidth="1"/>
    <col min="2334" max="2343" width="6.3984375" style="181" customWidth="1"/>
    <col min="2344" max="2344" width="7.19921875" style="181" bestFit="1" customWidth="1"/>
    <col min="2345" max="2345" width="4.59765625" style="181" bestFit="1" customWidth="1"/>
    <col min="2346" max="2346" width="6.69921875" style="181" customWidth="1"/>
    <col min="2347" max="2347" width="5.8984375" style="181" bestFit="1" customWidth="1"/>
    <col min="2348" max="2348" width="5.69921875" style="181" bestFit="1" customWidth="1"/>
    <col min="2349" max="2349" width="4.8984375" style="181" bestFit="1" customWidth="1"/>
    <col min="2350" max="2350" width="5.69921875" style="181" bestFit="1" customWidth="1"/>
    <col min="2351" max="2351" width="4.8984375" style="181" bestFit="1" customWidth="1"/>
    <col min="2352" max="2352" width="5.69921875" style="181" bestFit="1" customWidth="1"/>
    <col min="2353" max="2353" width="5.3984375" style="181" bestFit="1" customWidth="1"/>
    <col min="2354" max="2354" width="6.3984375" style="181" bestFit="1" customWidth="1"/>
    <col min="2355" max="2355" width="8.8984375" style="181" customWidth="1"/>
    <col min="2356" max="2366" width="5.8984375" style="181" bestFit="1" customWidth="1"/>
    <col min="2367" max="2564" width="8.796875" style="181"/>
    <col min="2565" max="2565" width="8.3984375" style="181" customWidth="1"/>
    <col min="2566" max="2566" width="7" style="181" customWidth="1"/>
    <col min="2567" max="2567" width="5.3984375" style="181" bestFit="1" customWidth="1"/>
    <col min="2568" max="2568" width="6.8984375" style="181" bestFit="1" customWidth="1"/>
    <col min="2569" max="2569" width="7.8984375" style="181" bestFit="1" customWidth="1"/>
    <col min="2570" max="2571" width="6.8984375" style="181" customWidth="1"/>
    <col min="2572" max="2572" width="8.59765625" style="181" customWidth="1"/>
    <col min="2573" max="2573" width="9.09765625" style="181" customWidth="1"/>
    <col min="2574" max="2574" width="5.8984375" style="181" bestFit="1" customWidth="1"/>
    <col min="2575" max="2575" width="6.3984375" style="181" bestFit="1" customWidth="1"/>
    <col min="2576" max="2576" width="5.69921875" style="181" bestFit="1" customWidth="1"/>
    <col min="2577" max="2577" width="4.8984375" style="181" bestFit="1" customWidth="1"/>
    <col min="2578" max="2578" width="5.69921875" style="181" bestFit="1" customWidth="1"/>
    <col min="2579" max="2579" width="4.8984375" style="181" bestFit="1" customWidth="1"/>
    <col min="2580" max="2580" width="4.3984375" style="181" bestFit="1" customWidth="1"/>
    <col min="2581" max="2581" width="5.3984375" style="181" bestFit="1" customWidth="1"/>
    <col min="2582" max="2582" width="5.5" style="181" customWidth="1"/>
    <col min="2583" max="2583" width="5.3984375" style="181" bestFit="1" customWidth="1"/>
    <col min="2584" max="2584" width="6" style="181" customWidth="1"/>
    <col min="2585" max="2585" width="5.09765625" style="181" customWidth="1"/>
    <col min="2586" max="2586" width="5.8984375" style="181" customWidth="1"/>
    <col min="2587" max="2587" width="7.3984375" style="181" bestFit="1" customWidth="1"/>
    <col min="2588" max="2589" width="6.3984375" style="181" bestFit="1" customWidth="1"/>
    <col min="2590" max="2599" width="6.3984375" style="181" customWidth="1"/>
    <col min="2600" max="2600" width="7.19921875" style="181" bestFit="1" customWidth="1"/>
    <col min="2601" max="2601" width="4.59765625" style="181" bestFit="1" customWidth="1"/>
    <col min="2602" max="2602" width="6.69921875" style="181" customWidth="1"/>
    <col min="2603" max="2603" width="5.8984375" style="181" bestFit="1" customWidth="1"/>
    <col min="2604" max="2604" width="5.69921875" style="181" bestFit="1" customWidth="1"/>
    <col min="2605" max="2605" width="4.8984375" style="181" bestFit="1" customWidth="1"/>
    <col min="2606" max="2606" width="5.69921875" style="181" bestFit="1" customWidth="1"/>
    <col min="2607" max="2607" width="4.8984375" style="181" bestFit="1" customWidth="1"/>
    <col min="2608" max="2608" width="5.69921875" style="181" bestFit="1" customWidth="1"/>
    <col min="2609" max="2609" width="5.3984375" style="181" bestFit="1" customWidth="1"/>
    <col min="2610" max="2610" width="6.3984375" style="181" bestFit="1" customWidth="1"/>
    <col min="2611" max="2611" width="8.8984375" style="181" customWidth="1"/>
    <col min="2612" max="2622" width="5.8984375" style="181" bestFit="1" customWidth="1"/>
    <col min="2623" max="2820" width="8.796875" style="181"/>
    <col min="2821" max="2821" width="8.3984375" style="181" customWidth="1"/>
    <col min="2822" max="2822" width="7" style="181" customWidth="1"/>
    <col min="2823" max="2823" width="5.3984375" style="181" bestFit="1" customWidth="1"/>
    <col min="2824" max="2824" width="6.8984375" style="181" bestFit="1" customWidth="1"/>
    <col min="2825" max="2825" width="7.8984375" style="181" bestFit="1" customWidth="1"/>
    <col min="2826" max="2827" width="6.8984375" style="181" customWidth="1"/>
    <col min="2828" max="2828" width="8.59765625" style="181" customWidth="1"/>
    <col min="2829" max="2829" width="9.09765625" style="181" customWidth="1"/>
    <col min="2830" max="2830" width="5.8984375" style="181" bestFit="1" customWidth="1"/>
    <col min="2831" max="2831" width="6.3984375" style="181" bestFit="1" customWidth="1"/>
    <col min="2832" max="2832" width="5.69921875" style="181" bestFit="1" customWidth="1"/>
    <col min="2833" max="2833" width="4.8984375" style="181" bestFit="1" customWidth="1"/>
    <col min="2834" max="2834" width="5.69921875" style="181" bestFit="1" customWidth="1"/>
    <col min="2835" max="2835" width="4.8984375" style="181" bestFit="1" customWidth="1"/>
    <col min="2836" max="2836" width="4.3984375" style="181" bestFit="1" customWidth="1"/>
    <col min="2837" max="2837" width="5.3984375" style="181" bestFit="1" customWidth="1"/>
    <col min="2838" max="2838" width="5.5" style="181" customWidth="1"/>
    <col min="2839" max="2839" width="5.3984375" style="181" bestFit="1" customWidth="1"/>
    <col min="2840" max="2840" width="6" style="181" customWidth="1"/>
    <col min="2841" max="2841" width="5.09765625" style="181" customWidth="1"/>
    <col min="2842" max="2842" width="5.8984375" style="181" customWidth="1"/>
    <col min="2843" max="2843" width="7.3984375" style="181" bestFit="1" customWidth="1"/>
    <col min="2844" max="2845" width="6.3984375" style="181" bestFit="1" customWidth="1"/>
    <col min="2846" max="2855" width="6.3984375" style="181" customWidth="1"/>
    <col min="2856" max="2856" width="7.19921875" style="181" bestFit="1" customWidth="1"/>
    <col min="2857" max="2857" width="4.59765625" style="181" bestFit="1" customWidth="1"/>
    <col min="2858" max="2858" width="6.69921875" style="181" customWidth="1"/>
    <col min="2859" max="2859" width="5.8984375" style="181" bestFit="1" customWidth="1"/>
    <col min="2860" max="2860" width="5.69921875" style="181" bestFit="1" customWidth="1"/>
    <col min="2861" max="2861" width="4.8984375" style="181" bestFit="1" customWidth="1"/>
    <col min="2862" max="2862" width="5.69921875" style="181" bestFit="1" customWidth="1"/>
    <col min="2863" max="2863" width="4.8984375" style="181" bestFit="1" customWidth="1"/>
    <col min="2864" max="2864" width="5.69921875" style="181" bestFit="1" customWidth="1"/>
    <col min="2865" max="2865" width="5.3984375" style="181" bestFit="1" customWidth="1"/>
    <col min="2866" max="2866" width="6.3984375" style="181" bestFit="1" customWidth="1"/>
    <col min="2867" max="2867" width="8.8984375" style="181" customWidth="1"/>
    <col min="2868" max="2878" width="5.8984375" style="181" bestFit="1" customWidth="1"/>
    <col min="2879" max="3076" width="8.796875" style="181"/>
    <col min="3077" max="3077" width="8.3984375" style="181" customWidth="1"/>
    <col min="3078" max="3078" width="7" style="181" customWidth="1"/>
    <col min="3079" max="3079" width="5.3984375" style="181" bestFit="1" customWidth="1"/>
    <col min="3080" max="3080" width="6.8984375" style="181" bestFit="1" customWidth="1"/>
    <col min="3081" max="3081" width="7.8984375" style="181" bestFit="1" customWidth="1"/>
    <col min="3082" max="3083" width="6.8984375" style="181" customWidth="1"/>
    <col min="3084" max="3084" width="8.59765625" style="181" customWidth="1"/>
    <col min="3085" max="3085" width="9.09765625" style="181" customWidth="1"/>
    <col min="3086" max="3086" width="5.8984375" style="181" bestFit="1" customWidth="1"/>
    <col min="3087" max="3087" width="6.3984375" style="181" bestFit="1" customWidth="1"/>
    <col min="3088" max="3088" width="5.69921875" style="181" bestFit="1" customWidth="1"/>
    <col min="3089" max="3089" width="4.8984375" style="181" bestFit="1" customWidth="1"/>
    <col min="3090" max="3090" width="5.69921875" style="181" bestFit="1" customWidth="1"/>
    <col min="3091" max="3091" width="4.8984375" style="181" bestFit="1" customWidth="1"/>
    <col min="3092" max="3092" width="4.3984375" style="181" bestFit="1" customWidth="1"/>
    <col min="3093" max="3093" width="5.3984375" style="181" bestFit="1" customWidth="1"/>
    <col min="3094" max="3094" width="5.5" style="181" customWidth="1"/>
    <col min="3095" max="3095" width="5.3984375" style="181" bestFit="1" customWidth="1"/>
    <col min="3096" max="3096" width="6" style="181" customWidth="1"/>
    <col min="3097" max="3097" width="5.09765625" style="181" customWidth="1"/>
    <col min="3098" max="3098" width="5.8984375" style="181" customWidth="1"/>
    <col min="3099" max="3099" width="7.3984375" style="181" bestFit="1" customWidth="1"/>
    <col min="3100" max="3101" width="6.3984375" style="181" bestFit="1" customWidth="1"/>
    <col min="3102" max="3111" width="6.3984375" style="181" customWidth="1"/>
    <col min="3112" max="3112" width="7.19921875" style="181" bestFit="1" customWidth="1"/>
    <col min="3113" max="3113" width="4.59765625" style="181" bestFit="1" customWidth="1"/>
    <col min="3114" max="3114" width="6.69921875" style="181" customWidth="1"/>
    <col min="3115" max="3115" width="5.8984375" style="181" bestFit="1" customWidth="1"/>
    <col min="3116" max="3116" width="5.69921875" style="181" bestFit="1" customWidth="1"/>
    <col min="3117" max="3117" width="4.8984375" style="181" bestFit="1" customWidth="1"/>
    <col min="3118" max="3118" width="5.69921875" style="181" bestFit="1" customWidth="1"/>
    <col min="3119" max="3119" width="4.8984375" style="181" bestFit="1" customWidth="1"/>
    <col min="3120" max="3120" width="5.69921875" style="181" bestFit="1" customWidth="1"/>
    <col min="3121" max="3121" width="5.3984375" style="181" bestFit="1" customWidth="1"/>
    <col min="3122" max="3122" width="6.3984375" style="181" bestFit="1" customWidth="1"/>
    <col min="3123" max="3123" width="8.8984375" style="181" customWidth="1"/>
    <col min="3124" max="3134" width="5.8984375" style="181" bestFit="1" customWidth="1"/>
    <col min="3135" max="3332" width="8.796875" style="181"/>
    <col min="3333" max="3333" width="8.3984375" style="181" customWidth="1"/>
    <col min="3334" max="3334" width="7" style="181" customWidth="1"/>
    <col min="3335" max="3335" width="5.3984375" style="181" bestFit="1" customWidth="1"/>
    <col min="3336" max="3336" width="6.8984375" style="181" bestFit="1" customWidth="1"/>
    <col min="3337" max="3337" width="7.8984375" style="181" bestFit="1" customWidth="1"/>
    <col min="3338" max="3339" width="6.8984375" style="181" customWidth="1"/>
    <col min="3340" max="3340" width="8.59765625" style="181" customWidth="1"/>
    <col min="3341" max="3341" width="9.09765625" style="181" customWidth="1"/>
    <col min="3342" max="3342" width="5.8984375" style="181" bestFit="1" customWidth="1"/>
    <col min="3343" max="3343" width="6.3984375" style="181" bestFit="1" customWidth="1"/>
    <col min="3344" max="3344" width="5.69921875" style="181" bestFit="1" customWidth="1"/>
    <col min="3345" max="3345" width="4.8984375" style="181" bestFit="1" customWidth="1"/>
    <col min="3346" max="3346" width="5.69921875" style="181" bestFit="1" customWidth="1"/>
    <col min="3347" max="3347" width="4.8984375" style="181" bestFit="1" customWidth="1"/>
    <col min="3348" max="3348" width="4.3984375" style="181" bestFit="1" customWidth="1"/>
    <col min="3349" max="3349" width="5.3984375" style="181" bestFit="1" customWidth="1"/>
    <col min="3350" max="3350" width="5.5" style="181" customWidth="1"/>
    <col min="3351" max="3351" width="5.3984375" style="181" bestFit="1" customWidth="1"/>
    <col min="3352" max="3352" width="6" style="181" customWidth="1"/>
    <col min="3353" max="3353" width="5.09765625" style="181" customWidth="1"/>
    <col min="3354" max="3354" width="5.8984375" style="181" customWidth="1"/>
    <col min="3355" max="3355" width="7.3984375" style="181" bestFit="1" customWidth="1"/>
    <col min="3356" max="3357" width="6.3984375" style="181" bestFit="1" customWidth="1"/>
    <col min="3358" max="3367" width="6.3984375" style="181" customWidth="1"/>
    <col min="3368" max="3368" width="7.19921875" style="181" bestFit="1" customWidth="1"/>
    <col min="3369" max="3369" width="4.59765625" style="181" bestFit="1" customWidth="1"/>
    <col min="3370" max="3370" width="6.69921875" style="181" customWidth="1"/>
    <col min="3371" max="3371" width="5.8984375" style="181" bestFit="1" customWidth="1"/>
    <col min="3372" max="3372" width="5.69921875" style="181" bestFit="1" customWidth="1"/>
    <col min="3373" max="3373" width="4.8984375" style="181" bestFit="1" customWidth="1"/>
    <col min="3374" max="3374" width="5.69921875" style="181" bestFit="1" customWidth="1"/>
    <col min="3375" max="3375" width="4.8984375" style="181" bestFit="1" customWidth="1"/>
    <col min="3376" max="3376" width="5.69921875" style="181" bestFit="1" customWidth="1"/>
    <col min="3377" max="3377" width="5.3984375" style="181" bestFit="1" customWidth="1"/>
    <col min="3378" max="3378" width="6.3984375" style="181" bestFit="1" customWidth="1"/>
    <col min="3379" max="3379" width="8.8984375" style="181" customWidth="1"/>
    <col min="3380" max="3390" width="5.8984375" style="181" bestFit="1" customWidth="1"/>
    <col min="3391" max="3588" width="8.796875" style="181"/>
    <col min="3589" max="3589" width="8.3984375" style="181" customWidth="1"/>
    <col min="3590" max="3590" width="7" style="181" customWidth="1"/>
    <col min="3591" max="3591" width="5.3984375" style="181" bestFit="1" customWidth="1"/>
    <col min="3592" max="3592" width="6.8984375" style="181" bestFit="1" customWidth="1"/>
    <col min="3593" max="3593" width="7.8984375" style="181" bestFit="1" customWidth="1"/>
    <col min="3594" max="3595" width="6.8984375" style="181" customWidth="1"/>
    <col min="3596" max="3596" width="8.59765625" style="181" customWidth="1"/>
    <col min="3597" max="3597" width="9.09765625" style="181" customWidth="1"/>
    <col min="3598" max="3598" width="5.8984375" style="181" bestFit="1" customWidth="1"/>
    <col min="3599" max="3599" width="6.3984375" style="181" bestFit="1" customWidth="1"/>
    <col min="3600" max="3600" width="5.69921875" style="181" bestFit="1" customWidth="1"/>
    <col min="3601" max="3601" width="4.8984375" style="181" bestFit="1" customWidth="1"/>
    <col min="3602" max="3602" width="5.69921875" style="181" bestFit="1" customWidth="1"/>
    <col min="3603" max="3603" width="4.8984375" style="181" bestFit="1" customWidth="1"/>
    <col min="3604" max="3604" width="4.3984375" style="181" bestFit="1" customWidth="1"/>
    <col min="3605" max="3605" width="5.3984375" style="181" bestFit="1" customWidth="1"/>
    <col min="3606" max="3606" width="5.5" style="181" customWidth="1"/>
    <col min="3607" max="3607" width="5.3984375" style="181" bestFit="1" customWidth="1"/>
    <col min="3608" max="3608" width="6" style="181" customWidth="1"/>
    <col min="3609" max="3609" width="5.09765625" style="181" customWidth="1"/>
    <col min="3610" max="3610" width="5.8984375" style="181" customWidth="1"/>
    <col min="3611" max="3611" width="7.3984375" style="181" bestFit="1" customWidth="1"/>
    <col min="3612" max="3613" width="6.3984375" style="181" bestFit="1" customWidth="1"/>
    <col min="3614" max="3623" width="6.3984375" style="181" customWidth="1"/>
    <col min="3624" max="3624" width="7.19921875" style="181" bestFit="1" customWidth="1"/>
    <col min="3625" max="3625" width="4.59765625" style="181" bestFit="1" customWidth="1"/>
    <col min="3626" max="3626" width="6.69921875" style="181" customWidth="1"/>
    <col min="3627" max="3627" width="5.8984375" style="181" bestFit="1" customWidth="1"/>
    <col min="3628" max="3628" width="5.69921875" style="181" bestFit="1" customWidth="1"/>
    <col min="3629" max="3629" width="4.8984375" style="181" bestFit="1" customWidth="1"/>
    <col min="3630" max="3630" width="5.69921875" style="181" bestFit="1" customWidth="1"/>
    <col min="3631" max="3631" width="4.8984375" style="181" bestFit="1" customWidth="1"/>
    <col min="3632" max="3632" width="5.69921875" style="181" bestFit="1" customWidth="1"/>
    <col min="3633" max="3633" width="5.3984375" style="181" bestFit="1" customWidth="1"/>
    <col min="3634" max="3634" width="6.3984375" style="181" bestFit="1" customWidth="1"/>
    <col min="3635" max="3635" width="8.8984375" style="181" customWidth="1"/>
    <col min="3636" max="3646" width="5.8984375" style="181" bestFit="1" customWidth="1"/>
    <col min="3647" max="3844" width="8.796875" style="181"/>
    <col min="3845" max="3845" width="8.3984375" style="181" customWidth="1"/>
    <col min="3846" max="3846" width="7" style="181" customWidth="1"/>
    <col min="3847" max="3847" width="5.3984375" style="181" bestFit="1" customWidth="1"/>
    <col min="3848" max="3848" width="6.8984375" style="181" bestFit="1" customWidth="1"/>
    <col min="3849" max="3849" width="7.8984375" style="181" bestFit="1" customWidth="1"/>
    <col min="3850" max="3851" width="6.8984375" style="181" customWidth="1"/>
    <col min="3852" max="3852" width="8.59765625" style="181" customWidth="1"/>
    <col min="3853" max="3853" width="9.09765625" style="181" customWidth="1"/>
    <col min="3854" max="3854" width="5.8984375" style="181" bestFit="1" customWidth="1"/>
    <col min="3855" max="3855" width="6.3984375" style="181" bestFit="1" customWidth="1"/>
    <col min="3856" max="3856" width="5.69921875" style="181" bestFit="1" customWidth="1"/>
    <col min="3857" max="3857" width="4.8984375" style="181" bestFit="1" customWidth="1"/>
    <col min="3858" max="3858" width="5.69921875" style="181" bestFit="1" customWidth="1"/>
    <col min="3859" max="3859" width="4.8984375" style="181" bestFit="1" customWidth="1"/>
    <col min="3860" max="3860" width="4.3984375" style="181" bestFit="1" customWidth="1"/>
    <col min="3861" max="3861" width="5.3984375" style="181" bestFit="1" customWidth="1"/>
    <col min="3862" max="3862" width="5.5" style="181" customWidth="1"/>
    <col min="3863" max="3863" width="5.3984375" style="181" bestFit="1" customWidth="1"/>
    <col min="3864" max="3864" width="6" style="181" customWidth="1"/>
    <col min="3865" max="3865" width="5.09765625" style="181" customWidth="1"/>
    <col min="3866" max="3866" width="5.8984375" style="181" customWidth="1"/>
    <col min="3867" max="3867" width="7.3984375" style="181" bestFit="1" customWidth="1"/>
    <col min="3868" max="3869" width="6.3984375" style="181" bestFit="1" customWidth="1"/>
    <col min="3870" max="3879" width="6.3984375" style="181" customWidth="1"/>
    <col min="3880" max="3880" width="7.19921875" style="181" bestFit="1" customWidth="1"/>
    <col min="3881" max="3881" width="4.59765625" style="181" bestFit="1" customWidth="1"/>
    <col min="3882" max="3882" width="6.69921875" style="181" customWidth="1"/>
    <col min="3883" max="3883" width="5.8984375" style="181" bestFit="1" customWidth="1"/>
    <col min="3884" max="3884" width="5.69921875" style="181" bestFit="1" customWidth="1"/>
    <col min="3885" max="3885" width="4.8984375" style="181" bestFit="1" customWidth="1"/>
    <col min="3886" max="3886" width="5.69921875" style="181" bestFit="1" customWidth="1"/>
    <col min="3887" max="3887" width="4.8984375" style="181" bestFit="1" customWidth="1"/>
    <col min="3888" max="3888" width="5.69921875" style="181" bestFit="1" customWidth="1"/>
    <col min="3889" max="3889" width="5.3984375" style="181" bestFit="1" customWidth="1"/>
    <col min="3890" max="3890" width="6.3984375" style="181" bestFit="1" customWidth="1"/>
    <col min="3891" max="3891" width="8.8984375" style="181" customWidth="1"/>
    <col min="3892" max="3902" width="5.8984375" style="181" bestFit="1" customWidth="1"/>
    <col min="3903" max="4100" width="8.796875" style="181"/>
    <col min="4101" max="4101" width="8.3984375" style="181" customWidth="1"/>
    <col min="4102" max="4102" width="7" style="181" customWidth="1"/>
    <col min="4103" max="4103" width="5.3984375" style="181" bestFit="1" customWidth="1"/>
    <col min="4104" max="4104" width="6.8984375" style="181" bestFit="1" customWidth="1"/>
    <col min="4105" max="4105" width="7.8984375" style="181" bestFit="1" customWidth="1"/>
    <col min="4106" max="4107" width="6.8984375" style="181" customWidth="1"/>
    <col min="4108" max="4108" width="8.59765625" style="181" customWidth="1"/>
    <col min="4109" max="4109" width="9.09765625" style="181" customWidth="1"/>
    <col min="4110" max="4110" width="5.8984375" style="181" bestFit="1" customWidth="1"/>
    <col min="4111" max="4111" width="6.3984375" style="181" bestFit="1" customWidth="1"/>
    <col min="4112" max="4112" width="5.69921875" style="181" bestFit="1" customWidth="1"/>
    <col min="4113" max="4113" width="4.8984375" style="181" bestFit="1" customWidth="1"/>
    <col min="4114" max="4114" width="5.69921875" style="181" bestFit="1" customWidth="1"/>
    <col min="4115" max="4115" width="4.8984375" style="181" bestFit="1" customWidth="1"/>
    <col min="4116" max="4116" width="4.3984375" style="181" bestFit="1" customWidth="1"/>
    <col min="4117" max="4117" width="5.3984375" style="181" bestFit="1" customWidth="1"/>
    <col min="4118" max="4118" width="5.5" style="181" customWidth="1"/>
    <col min="4119" max="4119" width="5.3984375" style="181" bestFit="1" customWidth="1"/>
    <col min="4120" max="4120" width="6" style="181" customWidth="1"/>
    <col min="4121" max="4121" width="5.09765625" style="181" customWidth="1"/>
    <col min="4122" max="4122" width="5.8984375" style="181" customWidth="1"/>
    <col min="4123" max="4123" width="7.3984375" style="181" bestFit="1" customWidth="1"/>
    <col min="4124" max="4125" width="6.3984375" style="181" bestFit="1" customWidth="1"/>
    <col min="4126" max="4135" width="6.3984375" style="181" customWidth="1"/>
    <col min="4136" max="4136" width="7.19921875" style="181" bestFit="1" customWidth="1"/>
    <col min="4137" max="4137" width="4.59765625" style="181" bestFit="1" customWidth="1"/>
    <col min="4138" max="4138" width="6.69921875" style="181" customWidth="1"/>
    <col min="4139" max="4139" width="5.8984375" style="181" bestFit="1" customWidth="1"/>
    <col min="4140" max="4140" width="5.69921875" style="181" bestFit="1" customWidth="1"/>
    <col min="4141" max="4141" width="4.8984375" style="181" bestFit="1" customWidth="1"/>
    <col min="4142" max="4142" width="5.69921875" style="181" bestFit="1" customWidth="1"/>
    <col min="4143" max="4143" width="4.8984375" style="181" bestFit="1" customWidth="1"/>
    <col min="4144" max="4144" width="5.69921875" style="181" bestFit="1" customWidth="1"/>
    <col min="4145" max="4145" width="5.3984375" style="181" bestFit="1" customWidth="1"/>
    <col min="4146" max="4146" width="6.3984375" style="181" bestFit="1" customWidth="1"/>
    <col min="4147" max="4147" width="8.8984375" style="181" customWidth="1"/>
    <col min="4148" max="4158" width="5.8984375" style="181" bestFit="1" customWidth="1"/>
    <col min="4159" max="4356" width="8.796875" style="181"/>
    <col min="4357" max="4357" width="8.3984375" style="181" customWidth="1"/>
    <col min="4358" max="4358" width="7" style="181" customWidth="1"/>
    <col min="4359" max="4359" width="5.3984375" style="181" bestFit="1" customWidth="1"/>
    <col min="4360" max="4360" width="6.8984375" style="181" bestFit="1" customWidth="1"/>
    <col min="4361" max="4361" width="7.8984375" style="181" bestFit="1" customWidth="1"/>
    <col min="4362" max="4363" width="6.8984375" style="181" customWidth="1"/>
    <col min="4364" max="4364" width="8.59765625" style="181" customWidth="1"/>
    <col min="4365" max="4365" width="9.09765625" style="181" customWidth="1"/>
    <col min="4366" max="4366" width="5.8984375" style="181" bestFit="1" customWidth="1"/>
    <col min="4367" max="4367" width="6.3984375" style="181" bestFit="1" customWidth="1"/>
    <col min="4368" max="4368" width="5.69921875" style="181" bestFit="1" customWidth="1"/>
    <col min="4369" max="4369" width="4.8984375" style="181" bestFit="1" customWidth="1"/>
    <col min="4370" max="4370" width="5.69921875" style="181" bestFit="1" customWidth="1"/>
    <col min="4371" max="4371" width="4.8984375" style="181" bestFit="1" customWidth="1"/>
    <col min="4372" max="4372" width="4.3984375" style="181" bestFit="1" customWidth="1"/>
    <col min="4373" max="4373" width="5.3984375" style="181" bestFit="1" customWidth="1"/>
    <col min="4374" max="4374" width="5.5" style="181" customWidth="1"/>
    <col min="4375" max="4375" width="5.3984375" style="181" bestFit="1" customWidth="1"/>
    <col min="4376" max="4376" width="6" style="181" customWidth="1"/>
    <col min="4377" max="4377" width="5.09765625" style="181" customWidth="1"/>
    <col min="4378" max="4378" width="5.8984375" style="181" customWidth="1"/>
    <col min="4379" max="4379" width="7.3984375" style="181" bestFit="1" customWidth="1"/>
    <col min="4380" max="4381" width="6.3984375" style="181" bestFit="1" customWidth="1"/>
    <col min="4382" max="4391" width="6.3984375" style="181" customWidth="1"/>
    <col min="4392" max="4392" width="7.19921875" style="181" bestFit="1" customWidth="1"/>
    <col min="4393" max="4393" width="4.59765625" style="181" bestFit="1" customWidth="1"/>
    <col min="4394" max="4394" width="6.69921875" style="181" customWidth="1"/>
    <col min="4395" max="4395" width="5.8984375" style="181" bestFit="1" customWidth="1"/>
    <col min="4396" max="4396" width="5.69921875" style="181" bestFit="1" customWidth="1"/>
    <col min="4397" max="4397" width="4.8984375" style="181" bestFit="1" customWidth="1"/>
    <col min="4398" max="4398" width="5.69921875" style="181" bestFit="1" customWidth="1"/>
    <col min="4399" max="4399" width="4.8984375" style="181" bestFit="1" customWidth="1"/>
    <col min="4400" max="4400" width="5.69921875" style="181" bestFit="1" customWidth="1"/>
    <col min="4401" max="4401" width="5.3984375" style="181" bestFit="1" customWidth="1"/>
    <col min="4402" max="4402" width="6.3984375" style="181" bestFit="1" customWidth="1"/>
    <col min="4403" max="4403" width="8.8984375" style="181" customWidth="1"/>
    <col min="4404" max="4414" width="5.8984375" style="181" bestFit="1" customWidth="1"/>
    <col min="4415" max="4612" width="8.796875" style="181"/>
    <col min="4613" max="4613" width="8.3984375" style="181" customWidth="1"/>
    <col min="4614" max="4614" width="7" style="181" customWidth="1"/>
    <col min="4615" max="4615" width="5.3984375" style="181" bestFit="1" customWidth="1"/>
    <col min="4616" max="4616" width="6.8984375" style="181" bestFit="1" customWidth="1"/>
    <col min="4617" max="4617" width="7.8984375" style="181" bestFit="1" customWidth="1"/>
    <col min="4618" max="4619" width="6.8984375" style="181" customWidth="1"/>
    <col min="4620" max="4620" width="8.59765625" style="181" customWidth="1"/>
    <col min="4621" max="4621" width="9.09765625" style="181" customWidth="1"/>
    <col min="4622" max="4622" width="5.8984375" style="181" bestFit="1" customWidth="1"/>
    <col min="4623" max="4623" width="6.3984375" style="181" bestFit="1" customWidth="1"/>
    <col min="4624" max="4624" width="5.69921875" style="181" bestFit="1" customWidth="1"/>
    <col min="4625" max="4625" width="4.8984375" style="181" bestFit="1" customWidth="1"/>
    <col min="4626" max="4626" width="5.69921875" style="181" bestFit="1" customWidth="1"/>
    <col min="4627" max="4627" width="4.8984375" style="181" bestFit="1" customWidth="1"/>
    <col min="4628" max="4628" width="4.3984375" style="181" bestFit="1" customWidth="1"/>
    <col min="4629" max="4629" width="5.3984375" style="181" bestFit="1" customWidth="1"/>
    <col min="4630" max="4630" width="5.5" style="181" customWidth="1"/>
    <col min="4631" max="4631" width="5.3984375" style="181" bestFit="1" customWidth="1"/>
    <col min="4632" max="4632" width="6" style="181" customWidth="1"/>
    <col min="4633" max="4633" width="5.09765625" style="181" customWidth="1"/>
    <col min="4634" max="4634" width="5.8984375" style="181" customWidth="1"/>
    <col min="4635" max="4635" width="7.3984375" style="181" bestFit="1" customWidth="1"/>
    <col min="4636" max="4637" width="6.3984375" style="181" bestFit="1" customWidth="1"/>
    <col min="4638" max="4647" width="6.3984375" style="181" customWidth="1"/>
    <col min="4648" max="4648" width="7.19921875" style="181" bestFit="1" customWidth="1"/>
    <col min="4649" max="4649" width="4.59765625" style="181" bestFit="1" customWidth="1"/>
    <col min="4650" max="4650" width="6.69921875" style="181" customWidth="1"/>
    <col min="4651" max="4651" width="5.8984375" style="181" bestFit="1" customWidth="1"/>
    <col min="4652" max="4652" width="5.69921875" style="181" bestFit="1" customWidth="1"/>
    <col min="4653" max="4653" width="4.8984375" style="181" bestFit="1" customWidth="1"/>
    <col min="4654" max="4654" width="5.69921875" style="181" bestFit="1" customWidth="1"/>
    <col min="4655" max="4655" width="4.8984375" style="181" bestFit="1" customWidth="1"/>
    <col min="4656" max="4656" width="5.69921875" style="181" bestFit="1" customWidth="1"/>
    <col min="4657" max="4657" width="5.3984375" style="181" bestFit="1" customWidth="1"/>
    <col min="4658" max="4658" width="6.3984375" style="181" bestFit="1" customWidth="1"/>
    <col min="4659" max="4659" width="8.8984375" style="181" customWidth="1"/>
    <col min="4660" max="4670" width="5.8984375" style="181" bestFit="1" customWidth="1"/>
    <col min="4671" max="4868" width="8.796875" style="181"/>
    <col min="4869" max="4869" width="8.3984375" style="181" customWidth="1"/>
    <col min="4870" max="4870" width="7" style="181" customWidth="1"/>
    <col min="4871" max="4871" width="5.3984375" style="181" bestFit="1" customWidth="1"/>
    <col min="4872" max="4872" width="6.8984375" style="181" bestFit="1" customWidth="1"/>
    <col min="4873" max="4873" width="7.8984375" style="181" bestFit="1" customWidth="1"/>
    <col min="4874" max="4875" width="6.8984375" style="181" customWidth="1"/>
    <col min="4876" max="4876" width="8.59765625" style="181" customWidth="1"/>
    <col min="4877" max="4877" width="9.09765625" style="181" customWidth="1"/>
    <col min="4878" max="4878" width="5.8984375" style="181" bestFit="1" customWidth="1"/>
    <col min="4879" max="4879" width="6.3984375" style="181" bestFit="1" customWidth="1"/>
    <col min="4880" max="4880" width="5.69921875" style="181" bestFit="1" customWidth="1"/>
    <col min="4881" max="4881" width="4.8984375" style="181" bestFit="1" customWidth="1"/>
    <col min="4882" max="4882" width="5.69921875" style="181" bestFit="1" customWidth="1"/>
    <col min="4883" max="4883" width="4.8984375" style="181" bestFit="1" customWidth="1"/>
    <col min="4884" max="4884" width="4.3984375" style="181" bestFit="1" customWidth="1"/>
    <col min="4885" max="4885" width="5.3984375" style="181" bestFit="1" customWidth="1"/>
    <col min="4886" max="4886" width="5.5" style="181" customWidth="1"/>
    <col min="4887" max="4887" width="5.3984375" style="181" bestFit="1" customWidth="1"/>
    <col min="4888" max="4888" width="6" style="181" customWidth="1"/>
    <col min="4889" max="4889" width="5.09765625" style="181" customWidth="1"/>
    <col min="4890" max="4890" width="5.8984375" style="181" customWidth="1"/>
    <col min="4891" max="4891" width="7.3984375" style="181" bestFit="1" customWidth="1"/>
    <col min="4892" max="4893" width="6.3984375" style="181" bestFit="1" customWidth="1"/>
    <col min="4894" max="4903" width="6.3984375" style="181" customWidth="1"/>
    <col min="4904" max="4904" width="7.19921875" style="181" bestFit="1" customWidth="1"/>
    <col min="4905" max="4905" width="4.59765625" style="181" bestFit="1" customWidth="1"/>
    <col min="4906" max="4906" width="6.69921875" style="181" customWidth="1"/>
    <col min="4907" max="4907" width="5.8984375" style="181" bestFit="1" customWidth="1"/>
    <col min="4908" max="4908" width="5.69921875" style="181" bestFit="1" customWidth="1"/>
    <col min="4909" max="4909" width="4.8984375" style="181" bestFit="1" customWidth="1"/>
    <col min="4910" max="4910" width="5.69921875" style="181" bestFit="1" customWidth="1"/>
    <col min="4911" max="4911" width="4.8984375" style="181" bestFit="1" customWidth="1"/>
    <col min="4912" max="4912" width="5.69921875" style="181" bestFit="1" customWidth="1"/>
    <col min="4913" max="4913" width="5.3984375" style="181" bestFit="1" customWidth="1"/>
    <col min="4914" max="4914" width="6.3984375" style="181" bestFit="1" customWidth="1"/>
    <col min="4915" max="4915" width="8.8984375" style="181" customWidth="1"/>
    <col min="4916" max="4926" width="5.8984375" style="181" bestFit="1" customWidth="1"/>
    <col min="4927" max="5124" width="8.796875" style="181"/>
    <col min="5125" max="5125" width="8.3984375" style="181" customWidth="1"/>
    <col min="5126" max="5126" width="7" style="181" customWidth="1"/>
    <col min="5127" max="5127" width="5.3984375" style="181" bestFit="1" customWidth="1"/>
    <col min="5128" max="5128" width="6.8984375" style="181" bestFit="1" customWidth="1"/>
    <col min="5129" max="5129" width="7.8984375" style="181" bestFit="1" customWidth="1"/>
    <col min="5130" max="5131" width="6.8984375" style="181" customWidth="1"/>
    <col min="5132" max="5132" width="8.59765625" style="181" customWidth="1"/>
    <col min="5133" max="5133" width="9.09765625" style="181" customWidth="1"/>
    <col min="5134" max="5134" width="5.8984375" style="181" bestFit="1" customWidth="1"/>
    <col min="5135" max="5135" width="6.3984375" style="181" bestFit="1" customWidth="1"/>
    <col min="5136" max="5136" width="5.69921875" style="181" bestFit="1" customWidth="1"/>
    <col min="5137" max="5137" width="4.8984375" style="181" bestFit="1" customWidth="1"/>
    <col min="5138" max="5138" width="5.69921875" style="181" bestFit="1" customWidth="1"/>
    <col min="5139" max="5139" width="4.8984375" style="181" bestFit="1" customWidth="1"/>
    <col min="5140" max="5140" width="4.3984375" style="181" bestFit="1" customWidth="1"/>
    <col min="5141" max="5141" width="5.3984375" style="181" bestFit="1" customWidth="1"/>
    <col min="5142" max="5142" width="5.5" style="181" customWidth="1"/>
    <col min="5143" max="5143" width="5.3984375" style="181" bestFit="1" customWidth="1"/>
    <col min="5144" max="5144" width="6" style="181" customWidth="1"/>
    <col min="5145" max="5145" width="5.09765625" style="181" customWidth="1"/>
    <col min="5146" max="5146" width="5.8984375" style="181" customWidth="1"/>
    <col min="5147" max="5147" width="7.3984375" style="181" bestFit="1" customWidth="1"/>
    <col min="5148" max="5149" width="6.3984375" style="181" bestFit="1" customWidth="1"/>
    <col min="5150" max="5159" width="6.3984375" style="181" customWidth="1"/>
    <col min="5160" max="5160" width="7.19921875" style="181" bestFit="1" customWidth="1"/>
    <col min="5161" max="5161" width="4.59765625" style="181" bestFit="1" customWidth="1"/>
    <col min="5162" max="5162" width="6.69921875" style="181" customWidth="1"/>
    <col min="5163" max="5163" width="5.8984375" style="181" bestFit="1" customWidth="1"/>
    <col min="5164" max="5164" width="5.69921875" style="181" bestFit="1" customWidth="1"/>
    <col min="5165" max="5165" width="4.8984375" style="181" bestFit="1" customWidth="1"/>
    <col min="5166" max="5166" width="5.69921875" style="181" bestFit="1" customWidth="1"/>
    <col min="5167" max="5167" width="4.8984375" style="181" bestFit="1" customWidth="1"/>
    <col min="5168" max="5168" width="5.69921875" style="181" bestFit="1" customWidth="1"/>
    <col min="5169" max="5169" width="5.3984375" style="181" bestFit="1" customWidth="1"/>
    <col min="5170" max="5170" width="6.3984375" style="181" bestFit="1" customWidth="1"/>
    <col min="5171" max="5171" width="8.8984375" style="181" customWidth="1"/>
    <col min="5172" max="5182" width="5.8984375" style="181" bestFit="1" customWidth="1"/>
    <col min="5183" max="5380" width="8.796875" style="181"/>
    <col min="5381" max="5381" width="8.3984375" style="181" customWidth="1"/>
    <col min="5382" max="5382" width="7" style="181" customWidth="1"/>
    <col min="5383" max="5383" width="5.3984375" style="181" bestFit="1" customWidth="1"/>
    <col min="5384" max="5384" width="6.8984375" style="181" bestFit="1" customWidth="1"/>
    <col min="5385" max="5385" width="7.8984375" style="181" bestFit="1" customWidth="1"/>
    <col min="5386" max="5387" width="6.8984375" style="181" customWidth="1"/>
    <col min="5388" max="5388" width="8.59765625" style="181" customWidth="1"/>
    <col min="5389" max="5389" width="9.09765625" style="181" customWidth="1"/>
    <col min="5390" max="5390" width="5.8984375" style="181" bestFit="1" customWidth="1"/>
    <col min="5391" max="5391" width="6.3984375" style="181" bestFit="1" customWidth="1"/>
    <col min="5392" max="5392" width="5.69921875" style="181" bestFit="1" customWidth="1"/>
    <col min="5393" max="5393" width="4.8984375" style="181" bestFit="1" customWidth="1"/>
    <col min="5394" max="5394" width="5.69921875" style="181" bestFit="1" customWidth="1"/>
    <col min="5395" max="5395" width="4.8984375" style="181" bestFit="1" customWidth="1"/>
    <col min="5396" max="5396" width="4.3984375" style="181" bestFit="1" customWidth="1"/>
    <col min="5397" max="5397" width="5.3984375" style="181" bestFit="1" customWidth="1"/>
    <col min="5398" max="5398" width="5.5" style="181" customWidth="1"/>
    <col min="5399" max="5399" width="5.3984375" style="181" bestFit="1" customWidth="1"/>
    <col min="5400" max="5400" width="6" style="181" customWidth="1"/>
    <col min="5401" max="5401" width="5.09765625" style="181" customWidth="1"/>
    <col min="5402" max="5402" width="5.8984375" style="181" customWidth="1"/>
    <col min="5403" max="5403" width="7.3984375" style="181" bestFit="1" customWidth="1"/>
    <col min="5404" max="5405" width="6.3984375" style="181" bestFit="1" customWidth="1"/>
    <col min="5406" max="5415" width="6.3984375" style="181" customWidth="1"/>
    <col min="5416" max="5416" width="7.19921875" style="181" bestFit="1" customWidth="1"/>
    <col min="5417" max="5417" width="4.59765625" style="181" bestFit="1" customWidth="1"/>
    <col min="5418" max="5418" width="6.69921875" style="181" customWidth="1"/>
    <col min="5419" max="5419" width="5.8984375" style="181" bestFit="1" customWidth="1"/>
    <col min="5420" max="5420" width="5.69921875" style="181" bestFit="1" customWidth="1"/>
    <col min="5421" max="5421" width="4.8984375" style="181" bestFit="1" customWidth="1"/>
    <col min="5422" max="5422" width="5.69921875" style="181" bestFit="1" customWidth="1"/>
    <col min="5423" max="5423" width="4.8984375" style="181" bestFit="1" customWidth="1"/>
    <col min="5424" max="5424" width="5.69921875" style="181" bestFit="1" customWidth="1"/>
    <col min="5425" max="5425" width="5.3984375" style="181" bestFit="1" customWidth="1"/>
    <col min="5426" max="5426" width="6.3984375" style="181" bestFit="1" customWidth="1"/>
    <col min="5427" max="5427" width="8.8984375" style="181" customWidth="1"/>
    <col min="5428" max="5438" width="5.8984375" style="181" bestFit="1" customWidth="1"/>
    <col min="5439" max="5636" width="8.796875" style="181"/>
    <col min="5637" max="5637" width="8.3984375" style="181" customWidth="1"/>
    <col min="5638" max="5638" width="7" style="181" customWidth="1"/>
    <col min="5639" max="5639" width="5.3984375" style="181" bestFit="1" customWidth="1"/>
    <col min="5640" max="5640" width="6.8984375" style="181" bestFit="1" customWidth="1"/>
    <col min="5641" max="5641" width="7.8984375" style="181" bestFit="1" customWidth="1"/>
    <col min="5642" max="5643" width="6.8984375" style="181" customWidth="1"/>
    <col min="5644" max="5644" width="8.59765625" style="181" customWidth="1"/>
    <col min="5645" max="5645" width="9.09765625" style="181" customWidth="1"/>
    <col min="5646" max="5646" width="5.8984375" style="181" bestFit="1" customWidth="1"/>
    <col min="5647" max="5647" width="6.3984375" style="181" bestFit="1" customWidth="1"/>
    <col min="5648" max="5648" width="5.69921875" style="181" bestFit="1" customWidth="1"/>
    <col min="5649" max="5649" width="4.8984375" style="181" bestFit="1" customWidth="1"/>
    <col min="5650" max="5650" width="5.69921875" style="181" bestFit="1" customWidth="1"/>
    <col min="5651" max="5651" width="4.8984375" style="181" bestFit="1" customWidth="1"/>
    <col min="5652" max="5652" width="4.3984375" style="181" bestFit="1" customWidth="1"/>
    <col min="5653" max="5653" width="5.3984375" style="181" bestFit="1" customWidth="1"/>
    <col min="5654" max="5654" width="5.5" style="181" customWidth="1"/>
    <col min="5655" max="5655" width="5.3984375" style="181" bestFit="1" customWidth="1"/>
    <col min="5656" max="5656" width="6" style="181" customWidth="1"/>
    <col min="5657" max="5657" width="5.09765625" style="181" customWidth="1"/>
    <col min="5658" max="5658" width="5.8984375" style="181" customWidth="1"/>
    <col min="5659" max="5659" width="7.3984375" style="181" bestFit="1" customWidth="1"/>
    <col min="5660" max="5661" width="6.3984375" style="181" bestFit="1" customWidth="1"/>
    <col min="5662" max="5671" width="6.3984375" style="181" customWidth="1"/>
    <col min="5672" max="5672" width="7.19921875" style="181" bestFit="1" customWidth="1"/>
    <col min="5673" max="5673" width="4.59765625" style="181" bestFit="1" customWidth="1"/>
    <col min="5674" max="5674" width="6.69921875" style="181" customWidth="1"/>
    <col min="5675" max="5675" width="5.8984375" style="181" bestFit="1" customWidth="1"/>
    <col min="5676" max="5676" width="5.69921875" style="181" bestFit="1" customWidth="1"/>
    <col min="5677" max="5677" width="4.8984375" style="181" bestFit="1" customWidth="1"/>
    <col min="5678" max="5678" width="5.69921875" style="181" bestFit="1" customWidth="1"/>
    <col min="5679" max="5679" width="4.8984375" style="181" bestFit="1" customWidth="1"/>
    <col min="5680" max="5680" width="5.69921875" style="181" bestFit="1" customWidth="1"/>
    <col min="5681" max="5681" width="5.3984375" style="181" bestFit="1" customWidth="1"/>
    <col min="5682" max="5682" width="6.3984375" style="181" bestFit="1" customWidth="1"/>
    <col min="5683" max="5683" width="8.8984375" style="181" customWidth="1"/>
    <col min="5684" max="5694" width="5.8984375" style="181" bestFit="1" customWidth="1"/>
    <col min="5695" max="5892" width="8.796875" style="181"/>
    <col min="5893" max="5893" width="8.3984375" style="181" customWidth="1"/>
    <col min="5894" max="5894" width="7" style="181" customWidth="1"/>
    <col min="5895" max="5895" width="5.3984375" style="181" bestFit="1" customWidth="1"/>
    <col min="5896" max="5896" width="6.8984375" style="181" bestFit="1" customWidth="1"/>
    <col min="5897" max="5897" width="7.8984375" style="181" bestFit="1" customWidth="1"/>
    <col min="5898" max="5899" width="6.8984375" style="181" customWidth="1"/>
    <col min="5900" max="5900" width="8.59765625" style="181" customWidth="1"/>
    <col min="5901" max="5901" width="9.09765625" style="181" customWidth="1"/>
    <col min="5902" max="5902" width="5.8984375" style="181" bestFit="1" customWidth="1"/>
    <col min="5903" max="5903" width="6.3984375" style="181" bestFit="1" customWidth="1"/>
    <col min="5904" max="5904" width="5.69921875" style="181" bestFit="1" customWidth="1"/>
    <col min="5905" max="5905" width="4.8984375" style="181" bestFit="1" customWidth="1"/>
    <col min="5906" max="5906" width="5.69921875" style="181" bestFit="1" customWidth="1"/>
    <col min="5907" max="5907" width="4.8984375" style="181" bestFit="1" customWidth="1"/>
    <col min="5908" max="5908" width="4.3984375" style="181" bestFit="1" customWidth="1"/>
    <col min="5909" max="5909" width="5.3984375" style="181" bestFit="1" customWidth="1"/>
    <col min="5910" max="5910" width="5.5" style="181" customWidth="1"/>
    <col min="5911" max="5911" width="5.3984375" style="181" bestFit="1" customWidth="1"/>
    <col min="5912" max="5912" width="6" style="181" customWidth="1"/>
    <col min="5913" max="5913" width="5.09765625" style="181" customWidth="1"/>
    <col min="5914" max="5914" width="5.8984375" style="181" customWidth="1"/>
    <col min="5915" max="5915" width="7.3984375" style="181" bestFit="1" customWidth="1"/>
    <col min="5916" max="5917" width="6.3984375" style="181" bestFit="1" customWidth="1"/>
    <col min="5918" max="5927" width="6.3984375" style="181" customWidth="1"/>
    <col min="5928" max="5928" width="7.19921875" style="181" bestFit="1" customWidth="1"/>
    <col min="5929" max="5929" width="4.59765625" style="181" bestFit="1" customWidth="1"/>
    <col min="5930" max="5930" width="6.69921875" style="181" customWidth="1"/>
    <col min="5931" max="5931" width="5.8984375" style="181" bestFit="1" customWidth="1"/>
    <col min="5932" max="5932" width="5.69921875" style="181" bestFit="1" customWidth="1"/>
    <col min="5933" max="5933" width="4.8984375" style="181" bestFit="1" customWidth="1"/>
    <col min="5934" max="5934" width="5.69921875" style="181" bestFit="1" customWidth="1"/>
    <col min="5935" max="5935" width="4.8984375" style="181" bestFit="1" customWidth="1"/>
    <col min="5936" max="5936" width="5.69921875" style="181" bestFit="1" customWidth="1"/>
    <col min="5937" max="5937" width="5.3984375" style="181" bestFit="1" customWidth="1"/>
    <col min="5938" max="5938" width="6.3984375" style="181" bestFit="1" customWidth="1"/>
    <col min="5939" max="5939" width="8.8984375" style="181" customWidth="1"/>
    <col min="5940" max="5950" width="5.8984375" style="181" bestFit="1" customWidth="1"/>
    <col min="5951" max="6148" width="8.796875" style="181"/>
    <col min="6149" max="6149" width="8.3984375" style="181" customWidth="1"/>
    <col min="6150" max="6150" width="7" style="181" customWidth="1"/>
    <col min="6151" max="6151" width="5.3984375" style="181" bestFit="1" customWidth="1"/>
    <col min="6152" max="6152" width="6.8984375" style="181" bestFit="1" customWidth="1"/>
    <col min="6153" max="6153" width="7.8984375" style="181" bestFit="1" customWidth="1"/>
    <col min="6154" max="6155" width="6.8984375" style="181" customWidth="1"/>
    <col min="6156" max="6156" width="8.59765625" style="181" customWidth="1"/>
    <col min="6157" max="6157" width="9.09765625" style="181" customWidth="1"/>
    <col min="6158" max="6158" width="5.8984375" style="181" bestFit="1" customWidth="1"/>
    <col min="6159" max="6159" width="6.3984375" style="181" bestFit="1" customWidth="1"/>
    <col min="6160" max="6160" width="5.69921875" style="181" bestFit="1" customWidth="1"/>
    <col min="6161" max="6161" width="4.8984375" style="181" bestFit="1" customWidth="1"/>
    <col min="6162" max="6162" width="5.69921875" style="181" bestFit="1" customWidth="1"/>
    <col min="6163" max="6163" width="4.8984375" style="181" bestFit="1" customWidth="1"/>
    <col min="6164" max="6164" width="4.3984375" style="181" bestFit="1" customWidth="1"/>
    <col min="6165" max="6165" width="5.3984375" style="181" bestFit="1" customWidth="1"/>
    <col min="6166" max="6166" width="5.5" style="181" customWidth="1"/>
    <col min="6167" max="6167" width="5.3984375" style="181" bestFit="1" customWidth="1"/>
    <col min="6168" max="6168" width="6" style="181" customWidth="1"/>
    <col min="6169" max="6169" width="5.09765625" style="181" customWidth="1"/>
    <col min="6170" max="6170" width="5.8984375" style="181" customWidth="1"/>
    <col min="6171" max="6171" width="7.3984375" style="181" bestFit="1" customWidth="1"/>
    <col min="6172" max="6173" width="6.3984375" style="181" bestFit="1" customWidth="1"/>
    <col min="6174" max="6183" width="6.3984375" style="181" customWidth="1"/>
    <col min="6184" max="6184" width="7.19921875" style="181" bestFit="1" customWidth="1"/>
    <col min="6185" max="6185" width="4.59765625" style="181" bestFit="1" customWidth="1"/>
    <col min="6186" max="6186" width="6.69921875" style="181" customWidth="1"/>
    <col min="6187" max="6187" width="5.8984375" style="181" bestFit="1" customWidth="1"/>
    <col min="6188" max="6188" width="5.69921875" style="181" bestFit="1" customWidth="1"/>
    <col min="6189" max="6189" width="4.8984375" style="181" bestFit="1" customWidth="1"/>
    <col min="6190" max="6190" width="5.69921875" style="181" bestFit="1" customWidth="1"/>
    <col min="6191" max="6191" width="4.8984375" style="181" bestFit="1" customWidth="1"/>
    <col min="6192" max="6192" width="5.69921875" style="181" bestFit="1" customWidth="1"/>
    <col min="6193" max="6193" width="5.3984375" style="181" bestFit="1" customWidth="1"/>
    <col min="6194" max="6194" width="6.3984375" style="181" bestFit="1" customWidth="1"/>
    <col min="6195" max="6195" width="8.8984375" style="181" customWidth="1"/>
    <col min="6196" max="6206" width="5.8984375" style="181" bestFit="1" customWidth="1"/>
    <col min="6207" max="6404" width="8.796875" style="181"/>
    <col min="6405" max="6405" width="8.3984375" style="181" customWidth="1"/>
    <col min="6406" max="6406" width="7" style="181" customWidth="1"/>
    <col min="6407" max="6407" width="5.3984375" style="181" bestFit="1" customWidth="1"/>
    <col min="6408" max="6408" width="6.8984375" style="181" bestFit="1" customWidth="1"/>
    <col min="6409" max="6409" width="7.8984375" style="181" bestFit="1" customWidth="1"/>
    <col min="6410" max="6411" width="6.8984375" style="181" customWidth="1"/>
    <col min="6412" max="6412" width="8.59765625" style="181" customWidth="1"/>
    <col min="6413" max="6413" width="9.09765625" style="181" customWidth="1"/>
    <col min="6414" max="6414" width="5.8984375" style="181" bestFit="1" customWidth="1"/>
    <col min="6415" max="6415" width="6.3984375" style="181" bestFit="1" customWidth="1"/>
    <col min="6416" max="6416" width="5.69921875" style="181" bestFit="1" customWidth="1"/>
    <col min="6417" max="6417" width="4.8984375" style="181" bestFit="1" customWidth="1"/>
    <col min="6418" max="6418" width="5.69921875" style="181" bestFit="1" customWidth="1"/>
    <col min="6419" max="6419" width="4.8984375" style="181" bestFit="1" customWidth="1"/>
    <col min="6420" max="6420" width="4.3984375" style="181" bestFit="1" customWidth="1"/>
    <col min="6421" max="6421" width="5.3984375" style="181" bestFit="1" customWidth="1"/>
    <col min="6422" max="6422" width="5.5" style="181" customWidth="1"/>
    <col min="6423" max="6423" width="5.3984375" style="181" bestFit="1" customWidth="1"/>
    <col min="6424" max="6424" width="6" style="181" customWidth="1"/>
    <col min="6425" max="6425" width="5.09765625" style="181" customWidth="1"/>
    <col min="6426" max="6426" width="5.8984375" style="181" customWidth="1"/>
    <col min="6427" max="6427" width="7.3984375" style="181" bestFit="1" customWidth="1"/>
    <col min="6428" max="6429" width="6.3984375" style="181" bestFit="1" customWidth="1"/>
    <col min="6430" max="6439" width="6.3984375" style="181" customWidth="1"/>
    <col min="6440" max="6440" width="7.19921875" style="181" bestFit="1" customWidth="1"/>
    <col min="6441" max="6441" width="4.59765625" style="181" bestFit="1" customWidth="1"/>
    <col min="6442" max="6442" width="6.69921875" style="181" customWidth="1"/>
    <col min="6443" max="6443" width="5.8984375" style="181" bestFit="1" customWidth="1"/>
    <col min="6444" max="6444" width="5.69921875" style="181" bestFit="1" customWidth="1"/>
    <col min="6445" max="6445" width="4.8984375" style="181" bestFit="1" customWidth="1"/>
    <col min="6446" max="6446" width="5.69921875" style="181" bestFit="1" customWidth="1"/>
    <col min="6447" max="6447" width="4.8984375" style="181" bestFit="1" customWidth="1"/>
    <col min="6448" max="6448" width="5.69921875" style="181" bestFit="1" customWidth="1"/>
    <col min="6449" max="6449" width="5.3984375" style="181" bestFit="1" customWidth="1"/>
    <col min="6450" max="6450" width="6.3984375" style="181" bestFit="1" customWidth="1"/>
    <col min="6451" max="6451" width="8.8984375" style="181" customWidth="1"/>
    <col min="6452" max="6462" width="5.8984375" style="181" bestFit="1" customWidth="1"/>
    <col min="6463" max="6660" width="8.796875" style="181"/>
    <col min="6661" max="6661" width="8.3984375" style="181" customWidth="1"/>
    <col min="6662" max="6662" width="7" style="181" customWidth="1"/>
    <col min="6663" max="6663" width="5.3984375" style="181" bestFit="1" customWidth="1"/>
    <col min="6664" max="6664" width="6.8984375" style="181" bestFit="1" customWidth="1"/>
    <col min="6665" max="6665" width="7.8984375" style="181" bestFit="1" customWidth="1"/>
    <col min="6666" max="6667" width="6.8984375" style="181" customWidth="1"/>
    <col min="6668" max="6668" width="8.59765625" style="181" customWidth="1"/>
    <col min="6669" max="6669" width="9.09765625" style="181" customWidth="1"/>
    <col min="6670" max="6670" width="5.8984375" style="181" bestFit="1" customWidth="1"/>
    <col min="6671" max="6671" width="6.3984375" style="181" bestFit="1" customWidth="1"/>
    <col min="6672" max="6672" width="5.69921875" style="181" bestFit="1" customWidth="1"/>
    <col min="6673" max="6673" width="4.8984375" style="181" bestFit="1" customWidth="1"/>
    <col min="6674" max="6674" width="5.69921875" style="181" bestFit="1" customWidth="1"/>
    <col min="6675" max="6675" width="4.8984375" style="181" bestFit="1" customWidth="1"/>
    <col min="6676" max="6676" width="4.3984375" style="181" bestFit="1" customWidth="1"/>
    <col min="6677" max="6677" width="5.3984375" style="181" bestFit="1" customWidth="1"/>
    <col min="6678" max="6678" width="5.5" style="181" customWidth="1"/>
    <col min="6679" max="6679" width="5.3984375" style="181" bestFit="1" customWidth="1"/>
    <col min="6680" max="6680" width="6" style="181" customWidth="1"/>
    <col min="6681" max="6681" width="5.09765625" style="181" customWidth="1"/>
    <col min="6682" max="6682" width="5.8984375" style="181" customWidth="1"/>
    <col min="6683" max="6683" width="7.3984375" style="181" bestFit="1" customWidth="1"/>
    <col min="6684" max="6685" width="6.3984375" style="181" bestFit="1" customWidth="1"/>
    <col min="6686" max="6695" width="6.3984375" style="181" customWidth="1"/>
    <col min="6696" max="6696" width="7.19921875" style="181" bestFit="1" customWidth="1"/>
    <col min="6697" max="6697" width="4.59765625" style="181" bestFit="1" customWidth="1"/>
    <col min="6698" max="6698" width="6.69921875" style="181" customWidth="1"/>
    <col min="6699" max="6699" width="5.8984375" style="181" bestFit="1" customWidth="1"/>
    <col min="6700" max="6700" width="5.69921875" style="181" bestFit="1" customWidth="1"/>
    <col min="6701" max="6701" width="4.8984375" style="181" bestFit="1" customWidth="1"/>
    <col min="6702" max="6702" width="5.69921875" style="181" bestFit="1" customWidth="1"/>
    <col min="6703" max="6703" width="4.8984375" style="181" bestFit="1" customWidth="1"/>
    <col min="6704" max="6704" width="5.69921875" style="181" bestFit="1" customWidth="1"/>
    <col min="6705" max="6705" width="5.3984375" style="181" bestFit="1" customWidth="1"/>
    <col min="6706" max="6706" width="6.3984375" style="181" bestFit="1" customWidth="1"/>
    <col min="6707" max="6707" width="8.8984375" style="181" customWidth="1"/>
    <col min="6708" max="6718" width="5.8984375" style="181" bestFit="1" customWidth="1"/>
    <col min="6719" max="6916" width="8.796875" style="181"/>
    <col min="6917" max="6917" width="8.3984375" style="181" customWidth="1"/>
    <col min="6918" max="6918" width="7" style="181" customWidth="1"/>
    <col min="6919" max="6919" width="5.3984375" style="181" bestFit="1" customWidth="1"/>
    <col min="6920" max="6920" width="6.8984375" style="181" bestFit="1" customWidth="1"/>
    <col min="6921" max="6921" width="7.8984375" style="181" bestFit="1" customWidth="1"/>
    <col min="6922" max="6923" width="6.8984375" style="181" customWidth="1"/>
    <col min="6924" max="6924" width="8.59765625" style="181" customWidth="1"/>
    <col min="6925" max="6925" width="9.09765625" style="181" customWidth="1"/>
    <col min="6926" max="6926" width="5.8984375" style="181" bestFit="1" customWidth="1"/>
    <col min="6927" max="6927" width="6.3984375" style="181" bestFit="1" customWidth="1"/>
    <col min="6928" max="6928" width="5.69921875" style="181" bestFit="1" customWidth="1"/>
    <col min="6929" max="6929" width="4.8984375" style="181" bestFit="1" customWidth="1"/>
    <col min="6930" max="6930" width="5.69921875" style="181" bestFit="1" customWidth="1"/>
    <col min="6931" max="6931" width="4.8984375" style="181" bestFit="1" customWidth="1"/>
    <col min="6932" max="6932" width="4.3984375" style="181" bestFit="1" customWidth="1"/>
    <col min="6933" max="6933" width="5.3984375" style="181" bestFit="1" customWidth="1"/>
    <col min="6934" max="6934" width="5.5" style="181" customWidth="1"/>
    <col min="6935" max="6935" width="5.3984375" style="181" bestFit="1" customWidth="1"/>
    <col min="6936" max="6936" width="6" style="181" customWidth="1"/>
    <col min="6937" max="6937" width="5.09765625" style="181" customWidth="1"/>
    <col min="6938" max="6938" width="5.8984375" style="181" customWidth="1"/>
    <col min="6939" max="6939" width="7.3984375" style="181" bestFit="1" customWidth="1"/>
    <col min="6940" max="6941" width="6.3984375" style="181" bestFit="1" customWidth="1"/>
    <col min="6942" max="6951" width="6.3984375" style="181" customWidth="1"/>
    <col min="6952" max="6952" width="7.19921875" style="181" bestFit="1" customWidth="1"/>
    <col min="6953" max="6953" width="4.59765625" style="181" bestFit="1" customWidth="1"/>
    <col min="6954" max="6954" width="6.69921875" style="181" customWidth="1"/>
    <col min="6955" max="6955" width="5.8984375" style="181" bestFit="1" customWidth="1"/>
    <col min="6956" max="6956" width="5.69921875" style="181" bestFit="1" customWidth="1"/>
    <col min="6957" max="6957" width="4.8984375" style="181" bestFit="1" customWidth="1"/>
    <col min="6958" max="6958" width="5.69921875" style="181" bestFit="1" customWidth="1"/>
    <col min="6959" max="6959" width="4.8984375" style="181" bestFit="1" customWidth="1"/>
    <col min="6960" max="6960" width="5.69921875" style="181" bestFit="1" customWidth="1"/>
    <col min="6961" max="6961" width="5.3984375" style="181" bestFit="1" customWidth="1"/>
    <col min="6962" max="6962" width="6.3984375" style="181" bestFit="1" customWidth="1"/>
    <col min="6963" max="6963" width="8.8984375" style="181" customWidth="1"/>
    <col min="6964" max="6974" width="5.8984375" style="181" bestFit="1" customWidth="1"/>
    <col min="6975" max="7172" width="8.796875" style="181"/>
    <col min="7173" max="7173" width="8.3984375" style="181" customWidth="1"/>
    <col min="7174" max="7174" width="7" style="181" customWidth="1"/>
    <col min="7175" max="7175" width="5.3984375" style="181" bestFit="1" customWidth="1"/>
    <col min="7176" max="7176" width="6.8984375" style="181" bestFit="1" customWidth="1"/>
    <col min="7177" max="7177" width="7.8984375" style="181" bestFit="1" customWidth="1"/>
    <col min="7178" max="7179" width="6.8984375" style="181" customWidth="1"/>
    <col min="7180" max="7180" width="8.59765625" style="181" customWidth="1"/>
    <col min="7181" max="7181" width="9.09765625" style="181" customWidth="1"/>
    <col min="7182" max="7182" width="5.8984375" style="181" bestFit="1" customWidth="1"/>
    <col min="7183" max="7183" width="6.3984375" style="181" bestFit="1" customWidth="1"/>
    <col min="7184" max="7184" width="5.69921875" style="181" bestFit="1" customWidth="1"/>
    <col min="7185" max="7185" width="4.8984375" style="181" bestFit="1" customWidth="1"/>
    <col min="7186" max="7186" width="5.69921875" style="181" bestFit="1" customWidth="1"/>
    <col min="7187" max="7187" width="4.8984375" style="181" bestFit="1" customWidth="1"/>
    <col min="7188" max="7188" width="4.3984375" style="181" bestFit="1" customWidth="1"/>
    <col min="7189" max="7189" width="5.3984375" style="181" bestFit="1" customWidth="1"/>
    <col min="7190" max="7190" width="5.5" style="181" customWidth="1"/>
    <col min="7191" max="7191" width="5.3984375" style="181" bestFit="1" customWidth="1"/>
    <col min="7192" max="7192" width="6" style="181" customWidth="1"/>
    <col min="7193" max="7193" width="5.09765625" style="181" customWidth="1"/>
    <col min="7194" max="7194" width="5.8984375" style="181" customWidth="1"/>
    <col min="7195" max="7195" width="7.3984375" style="181" bestFit="1" customWidth="1"/>
    <col min="7196" max="7197" width="6.3984375" style="181" bestFit="1" customWidth="1"/>
    <col min="7198" max="7207" width="6.3984375" style="181" customWidth="1"/>
    <col min="7208" max="7208" width="7.19921875" style="181" bestFit="1" customWidth="1"/>
    <col min="7209" max="7209" width="4.59765625" style="181" bestFit="1" customWidth="1"/>
    <col min="7210" max="7210" width="6.69921875" style="181" customWidth="1"/>
    <col min="7211" max="7211" width="5.8984375" style="181" bestFit="1" customWidth="1"/>
    <col min="7212" max="7212" width="5.69921875" style="181" bestFit="1" customWidth="1"/>
    <col min="7213" max="7213" width="4.8984375" style="181" bestFit="1" customWidth="1"/>
    <col min="7214" max="7214" width="5.69921875" style="181" bestFit="1" customWidth="1"/>
    <col min="7215" max="7215" width="4.8984375" style="181" bestFit="1" customWidth="1"/>
    <col min="7216" max="7216" width="5.69921875" style="181" bestFit="1" customWidth="1"/>
    <col min="7217" max="7217" width="5.3984375" style="181" bestFit="1" customWidth="1"/>
    <col min="7218" max="7218" width="6.3984375" style="181" bestFit="1" customWidth="1"/>
    <col min="7219" max="7219" width="8.8984375" style="181" customWidth="1"/>
    <col min="7220" max="7230" width="5.8984375" style="181" bestFit="1" customWidth="1"/>
    <col min="7231" max="7428" width="8.796875" style="181"/>
    <col min="7429" max="7429" width="8.3984375" style="181" customWidth="1"/>
    <col min="7430" max="7430" width="7" style="181" customWidth="1"/>
    <col min="7431" max="7431" width="5.3984375" style="181" bestFit="1" customWidth="1"/>
    <col min="7432" max="7432" width="6.8984375" style="181" bestFit="1" customWidth="1"/>
    <col min="7433" max="7433" width="7.8984375" style="181" bestFit="1" customWidth="1"/>
    <col min="7434" max="7435" width="6.8984375" style="181" customWidth="1"/>
    <col min="7436" max="7436" width="8.59765625" style="181" customWidth="1"/>
    <col min="7437" max="7437" width="9.09765625" style="181" customWidth="1"/>
    <col min="7438" max="7438" width="5.8984375" style="181" bestFit="1" customWidth="1"/>
    <col min="7439" max="7439" width="6.3984375" style="181" bestFit="1" customWidth="1"/>
    <col min="7440" max="7440" width="5.69921875" style="181" bestFit="1" customWidth="1"/>
    <col min="7441" max="7441" width="4.8984375" style="181" bestFit="1" customWidth="1"/>
    <col min="7442" max="7442" width="5.69921875" style="181" bestFit="1" customWidth="1"/>
    <col min="7443" max="7443" width="4.8984375" style="181" bestFit="1" customWidth="1"/>
    <col min="7444" max="7444" width="4.3984375" style="181" bestFit="1" customWidth="1"/>
    <col min="7445" max="7445" width="5.3984375" style="181" bestFit="1" customWidth="1"/>
    <col min="7446" max="7446" width="5.5" style="181" customWidth="1"/>
    <col min="7447" max="7447" width="5.3984375" style="181" bestFit="1" customWidth="1"/>
    <col min="7448" max="7448" width="6" style="181" customWidth="1"/>
    <col min="7449" max="7449" width="5.09765625" style="181" customWidth="1"/>
    <col min="7450" max="7450" width="5.8984375" style="181" customWidth="1"/>
    <col min="7451" max="7451" width="7.3984375" style="181" bestFit="1" customWidth="1"/>
    <col min="7452" max="7453" width="6.3984375" style="181" bestFit="1" customWidth="1"/>
    <col min="7454" max="7463" width="6.3984375" style="181" customWidth="1"/>
    <col min="7464" max="7464" width="7.19921875" style="181" bestFit="1" customWidth="1"/>
    <col min="7465" max="7465" width="4.59765625" style="181" bestFit="1" customWidth="1"/>
    <col min="7466" max="7466" width="6.69921875" style="181" customWidth="1"/>
    <col min="7467" max="7467" width="5.8984375" style="181" bestFit="1" customWidth="1"/>
    <col min="7468" max="7468" width="5.69921875" style="181" bestFit="1" customWidth="1"/>
    <col min="7469" max="7469" width="4.8984375" style="181" bestFit="1" customWidth="1"/>
    <col min="7470" max="7470" width="5.69921875" style="181" bestFit="1" customWidth="1"/>
    <col min="7471" max="7471" width="4.8984375" style="181" bestFit="1" customWidth="1"/>
    <col min="7472" max="7472" width="5.69921875" style="181" bestFit="1" customWidth="1"/>
    <col min="7473" max="7473" width="5.3984375" style="181" bestFit="1" customWidth="1"/>
    <col min="7474" max="7474" width="6.3984375" style="181" bestFit="1" customWidth="1"/>
    <col min="7475" max="7475" width="8.8984375" style="181" customWidth="1"/>
    <col min="7476" max="7486" width="5.8984375" style="181" bestFit="1" customWidth="1"/>
    <col min="7487" max="7684" width="8.796875" style="181"/>
    <col min="7685" max="7685" width="8.3984375" style="181" customWidth="1"/>
    <col min="7686" max="7686" width="7" style="181" customWidth="1"/>
    <col min="7687" max="7687" width="5.3984375" style="181" bestFit="1" customWidth="1"/>
    <col min="7688" max="7688" width="6.8984375" style="181" bestFit="1" customWidth="1"/>
    <col min="7689" max="7689" width="7.8984375" style="181" bestFit="1" customWidth="1"/>
    <col min="7690" max="7691" width="6.8984375" style="181" customWidth="1"/>
    <col min="7692" max="7692" width="8.59765625" style="181" customWidth="1"/>
    <col min="7693" max="7693" width="9.09765625" style="181" customWidth="1"/>
    <col min="7694" max="7694" width="5.8984375" style="181" bestFit="1" customWidth="1"/>
    <col min="7695" max="7695" width="6.3984375" style="181" bestFit="1" customWidth="1"/>
    <col min="7696" max="7696" width="5.69921875" style="181" bestFit="1" customWidth="1"/>
    <col min="7697" max="7697" width="4.8984375" style="181" bestFit="1" customWidth="1"/>
    <col min="7698" max="7698" width="5.69921875" style="181" bestFit="1" customWidth="1"/>
    <col min="7699" max="7699" width="4.8984375" style="181" bestFit="1" customWidth="1"/>
    <col min="7700" max="7700" width="4.3984375" style="181" bestFit="1" customWidth="1"/>
    <col min="7701" max="7701" width="5.3984375" style="181" bestFit="1" customWidth="1"/>
    <col min="7702" max="7702" width="5.5" style="181" customWidth="1"/>
    <col min="7703" max="7703" width="5.3984375" style="181" bestFit="1" customWidth="1"/>
    <col min="7704" max="7704" width="6" style="181" customWidth="1"/>
    <col min="7705" max="7705" width="5.09765625" style="181" customWidth="1"/>
    <col min="7706" max="7706" width="5.8984375" style="181" customWidth="1"/>
    <col min="7707" max="7707" width="7.3984375" style="181" bestFit="1" customWidth="1"/>
    <col min="7708" max="7709" width="6.3984375" style="181" bestFit="1" customWidth="1"/>
    <col min="7710" max="7719" width="6.3984375" style="181" customWidth="1"/>
    <col min="7720" max="7720" width="7.19921875" style="181" bestFit="1" customWidth="1"/>
    <col min="7721" max="7721" width="4.59765625" style="181" bestFit="1" customWidth="1"/>
    <col min="7722" max="7722" width="6.69921875" style="181" customWidth="1"/>
    <col min="7723" max="7723" width="5.8984375" style="181" bestFit="1" customWidth="1"/>
    <col min="7724" max="7724" width="5.69921875" style="181" bestFit="1" customWidth="1"/>
    <col min="7725" max="7725" width="4.8984375" style="181" bestFit="1" customWidth="1"/>
    <col min="7726" max="7726" width="5.69921875" style="181" bestFit="1" customWidth="1"/>
    <col min="7727" max="7727" width="4.8984375" style="181" bestFit="1" customWidth="1"/>
    <col min="7728" max="7728" width="5.69921875" style="181" bestFit="1" customWidth="1"/>
    <col min="7729" max="7729" width="5.3984375" style="181" bestFit="1" customWidth="1"/>
    <col min="7730" max="7730" width="6.3984375" style="181" bestFit="1" customWidth="1"/>
    <col min="7731" max="7731" width="8.8984375" style="181" customWidth="1"/>
    <col min="7732" max="7742" width="5.8984375" style="181" bestFit="1" customWidth="1"/>
    <col min="7743" max="7940" width="8.796875" style="181"/>
    <col min="7941" max="7941" width="8.3984375" style="181" customWidth="1"/>
    <col min="7942" max="7942" width="7" style="181" customWidth="1"/>
    <col min="7943" max="7943" width="5.3984375" style="181" bestFit="1" customWidth="1"/>
    <col min="7944" max="7944" width="6.8984375" style="181" bestFit="1" customWidth="1"/>
    <col min="7945" max="7945" width="7.8984375" style="181" bestFit="1" customWidth="1"/>
    <col min="7946" max="7947" width="6.8984375" style="181" customWidth="1"/>
    <col min="7948" max="7948" width="8.59765625" style="181" customWidth="1"/>
    <col min="7949" max="7949" width="9.09765625" style="181" customWidth="1"/>
    <col min="7950" max="7950" width="5.8984375" style="181" bestFit="1" customWidth="1"/>
    <col min="7951" max="7951" width="6.3984375" style="181" bestFit="1" customWidth="1"/>
    <col min="7952" max="7952" width="5.69921875" style="181" bestFit="1" customWidth="1"/>
    <col min="7953" max="7953" width="4.8984375" style="181" bestFit="1" customWidth="1"/>
    <col min="7954" max="7954" width="5.69921875" style="181" bestFit="1" customWidth="1"/>
    <col min="7955" max="7955" width="4.8984375" style="181" bestFit="1" customWidth="1"/>
    <col min="7956" max="7956" width="4.3984375" style="181" bestFit="1" customWidth="1"/>
    <col min="7957" max="7957" width="5.3984375" style="181" bestFit="1" customWidth="1"/>
    <col min="7958" max="7958" width="5.5" style="181" customWidth="1"/>
    <col min="7959" max="7959" width="5.3984375" style="181" bestFit="1" customWidth="1"/>
    <col min="7960" max="7960" width="6" style="181" customWidth="1"/>
    <col min="7961" max="7961" width="5.09765625" style="181" customWidth="1"/>
    <col min="7962" max="7962" width="5.8984375" style="181" customWidth="1"/>
    <col min="7963" max="7963" width="7.3984375" style="181" bestFit="1" customWidth="1"/>
    <col min="7964" max="7965" width="6.3984375" style="181" bestFit="1" customWidth="1"/>
    <col min="7966" max="7975" width="6.3984375" style="181" customWidth="1"/>
    <col min="7976" max="7976" width="7.19921875" style="181" bestFit="1" customWidth="1"/>
    <col min="7977" max="7977" width="4.59765625" style="181" bestFit="1" customWidth="1"/>
    <col min="7978" max="7978" width="6.69921875" style="181" customWidth="1"/>
    <col min="7979" max="7979" width="5.8984375" style="181" bestFit="1" customWidth="1"/>
    <col min="7980" max="7980" width="5.69921875" style="181" bestFit="1" customWidth="1"/>
    <col min="7981" max="7981" width="4.8984375" style="181" bestFit="1" customWidth="1"/>
    <col min="7982" max="7982" width="5.69921875" style="181" bestFit="1" customWidth="1"/>
    <col min="7983" max="7983" width="4.8984375" style="181" bestFit="1" customWidth="1"/>
    <col min="7984" max="7984" width="5.69921875" style="181" bestFit="1" customWidth="1"/>
    <col min="7985" max="7985" width="5.3984375" style="181" bestFit="1" customWidth="1"/>
    <col min="7986" max="7986" width="6.3984375" style="181" bestFit="1" customWidth="1"/>
    <col min="7987" max="7987" width="8.8984375" style="181" customWidth="1"/>
    <col min="7988" max="7998" width="5.8984375" style="181" bestFit="1" customWidth="1"/>
    <col min="7999" max="8196" width="8.796875" style="181"/>
    <col min="8197" max="8197" width="8.3984375" style="181" customWidth="1"/>
    <col min="8198" max="8198" width="7" style="181" customWidth="1"/>
    <col min="8199" max="8199" width="5.3984375" style="181" bestFit="1" customWidth="1"/>
    <col min="8200" max="8200" width="6.8984375" style="181" bestFit="1" customWidth="1"/>
    <col min="8201" max="8201" width="7.8984375" style="181" bestFit="1" customWidth="1"/>
    <col min="8202" max="8203" width="6.8984375" style="181" customWidth="1"/>
    <col min="8204" max="8204" width="8.59765625" style="181" customWidth="1"/>
    <col min="8205" max="8205" width="9.09765625" style="181" customWidth="1"/>
    <col min="8206" max="8206" width="5.8984375" style="181" bestFit="1" customWidth="1"/>
    <col min="8207" max="8207" width="6.3984375" style="181" bestFit="1" customWidth="1"/>
    <col min="8208" max="8208" width="5.69921875" style="181" bestFit="1" customWidth="1"/>
    <col min="8209" max="8209" width="4.8984375" style="181" bestFit="1" customWidth="1"/>
    <col min="8210" max="8210" width="5.69921875" style="181" bestFit="1" customWidth="1"/>
    <col min="8211" max="8211" width="4.8984375" style="181" bestFit="1" customWidth="1"/>
    <col min="8212" max="8212" width="4.3984375" style="181" bestFit="1" customWidth="1"/>
    <col min="8213" max="8213" width="5.3984375" style="181" bestFit="1" customWidth="1"/>
    <col min="8214" max="8214" width="5.5" style="181" customWidth="1"/>
    <col min="8215" max="8215" width="5.3984375" style="181" bestFit="1" customWidth="1"/>
    <col min="8216" max="8216" width="6" style="181" customWidth="1"/>
    <col min="8217" max="8217" width="5.09765625" style="181" customWidth="1"/>
    <col min="8218" max="8218" width="5.8984375" style="181" customWidth="1"/>
    <col min="8219" max="8219" width="7.3984375" style="181" bestFit="1" customWidth="1"/>
    <col min="8220" max="8221" width="6.3984375" style="181" bestFit="1" customWidth="1"/>
    <col min="8222" max="8231" width="6.3984375" style="181" customWidth="1"/>
    <col min="8232" max="8232" width="7.19921875" style="181" bestFit="1" customWidth="1"/>
    <col min="8233" max="8233" width="4.59765625" style="181" bestFit="1" customWidth="1"/>
    <col min="8234" max="8234" width="6.69921875" style="181" customWidth="1"/>
    <col min="8235" max="8235" width="5.8984375" style="181" bestFit="1" customWidth="1"/>
    <col min="8236" max="8236" width="5.69921875" style="181" bestFit="1" customWidth="1"/>
    <col min="8237" max="8237" width="4.8984375" style="181" bestFit="1" customWidth="1"/>
    <col min="8238" max="8238" width="5.69921875" style="181" bestFit="1" customWidth="1"/>
    <col min="8239" max="8239" width="4.8984375" style="181" bestFit="1" customWidth="1"/>
    <col min="8240" max="8240" width="5.69921875" style="181" bestFit="1" customWidth="1"/>
    <col min="8241" max="8241" width="5.3984375" style="181" bestFit="1" customWidth="1"/>
    <col min="8242" max="8242" width="6.3984375" style="181" bestFit="1" customWidth="1"/>
    <col min="8243" max="8243" width="8.8984375" style="181" customWidth="1"/>
    <col min="8244" max="8254" width="5.8984375" style="181" bestFit="1" customWidth="1"/>
    <col min="8255" max="8452" width="8.796875" style="181"/>
    <col min="8453" max="8453" width="8.3984375" style="181" customWidth="1"/>
    <col min="8454" max="8454" width="7" style="181" customWidth="1"/>
    <col min="8455" max="8455" width="5.3984375" style="181" bestFit="1" customWidth="1"/>
    <col min="8456" max="8456" width="6.8984375" style="181" bestFit="1" customWidth="1"/>
    <col min="8457" max="8457" width="7.8984375" style="181" bestFit="1" customWidth="1"/>
    <col min="8458" max="8459" width="6.8984375" style="181" customWidth="1"/>
    <col min="8460" max="8460" width="8.59765625" style="181" customWidth="1"/>
    <col min="8461" max="8461" width="9.09765625" style="181" customWidth="1"/>
    <col min="8462" max="8462" width="5.8984375" style="181" bestFit="1" customWidth="1"/>
    <col min="8463" max="8463" width="6.3984375" style="181" bestFit="1" customWidth="1"/>
    <col min="8464" max="8464" width="5.69921875" style="181" bestFit="1" customWidth="1"/>
    <col min="8465" max="8465" width="4.8984375" style="181" bestFit="1" customWidth="1"/>
    <col min="8466" max="8466" width="5.69921875" style="181" bestFit="1" customWidth="1"/>
    <col min="8467" max="8467" width="4.8984375" style="181" bestFit="1" customWidth="1"/>
    <col min="8468" max="8468" width="4.3984375" style="181" bestFit="1" customWidth="1"/>
    <col min="8469" max="8469" width="5.3984375" style="181" bestFit="1" customWidth="1"/>
    <col min="8470" max="8470" width="5.5" style="181" customWidth="1"/>
    <col min="8471" max="8471" width="5.3984375" style="181" bestFit="1" customWidth="1"/>
    <col min="8472" max="8472" width="6" style="181" customWidth="1"/>
    <col min="8473" max="8473" width="5.09765625" style="181" customWidth="1"/>
    <col min="8474" max="8474" width="5.8984375" style="181" customWidth="1"/>
    <col min="8475" max="8475" width="7.3984375" style="181" bestFit="1" customWidth="1"/>
    <col min="8476" max="8477" width="6.3984375" style="181" bestFit="1" customWidth="1"/>
    <col min="8478" max="8487" width="6.3984375" style="181" customWidth="1"/>
    <col min="8488" max="8488" width="7.19921875" style="181" bestFit="1" customWidth="1"/>
    <col min="8489" max="8489" width="4.59765625" style="181" bestFit="1" customWidth="1"/>
    <col min="8490" max="8490" width="6.69921875" style="181" customWidth="1"/>
    <col min="8491" max="8491" width="5.8984375" style="181" bestFit="1" customWidth="1"/>
    <col min="8492" max="8492" width="5.69921875" style="181" bestFit="1" customWidth="1"/>
    <col min="8493" max="8493" width="4.8984375" style="181" bestFit="1" customWidth="1"/>
    <col min="8494" max="8494" width="5.69921875" style="181" bestFit="1" customWidth="1"/>
    <col min="8495" max="8495" width="4.8984375" style="181" bestFit="1" customWidth="1"/>
    <col min="8496" max="8496" width="5.69921875" style="181" bestFit="1" customWidth="1"/>
    <col min="8497" max="8497" width="5.3984375" style="181" bestFit="1" customWidth="1"/>
    <col min="8498" max="8498" width="6.3984375" style="181" bestFit="1" customWidth="1"/>
    <col min="8499" max="8499" width="8.8984375" style="181" customWidth="1"/>
    <col min="8500" max="8510" width="5.8984375" style="181" bestFit="1" customWidth="1"/>
    <col min="8511" max="8708" width="8.796875" style="181"/>
    <col min="8709" max="8709" width="8.3984375" style="181" customWidth="1"/>
    <col min="8710" max="8710" width="7" style="181" customWidth="1"/>
    <col min="8711" max="8711" width="5.3984375" style="181" bestFit="1" customWidth="1"/>
    <col min="8712" max="8712" width="6.8984375" style="181" bestFit="1" customWidth="1"/>
    <col min="8713" max="8713" width="7.8984375" style="181" bestFit="1" customWidth="1"/>
    <col min="8714" max="8715" width="6.8984375" style="181" customWidth="1"/>
    <col min="8716" max="8716" width="8.59765625" style="181" customWidth="1"/>
    <col min="8717" max="8717" width="9.09765625" style="181" customWidth="1"/>
    <col min="8718" max="8718" width="5.8984375" style="181" bestFit="1" customWidth="1"/>
    <col min="8719" max="8719" width="6.3984375" style="181" bestFit="1" customWidth="1"/>
    <col min="8720" max="8720" width="5.69921875" style="181" bestFit="1" customWidth="1"/>
    <col min="8721" max="8721" width="4.8984375" style="181" bestFit="1" customWidth="1"/>
    <col min="8722" max="8722" width="5.69921875" style="181" bestFit="1" customWidth="1"/>
    <col min="8723" max="8723" width="4.8984375" style="181" bestFit="1" customWidth="1"/>
    <col min="8724" max="8724" width="4.3984375" style="181" bestFit="1" customWidth="1"/>
    <col min="8725" max="8725" width="5.3984375" style="181" bestFit="1" customWidth="1"/>
    <col min="8726" max="8726" width="5.5" style="181" customWidth="1"/>
    <col min="8727" max="8727" width="5.3984375" style="181" bestFit="1" customWidth="1"/>
    <col min="8728" max="8728" width="6" style="181" customWidth="1"/>
    <col min="8729" max="8729" width="5.09765625" style="181" customWidth="1"/>
    <col min="8730" max="8730" width="5.8984375" style="181" customWidth="1"/>
    <col min="8731" max="8731" width="7.3984375" style="181" bestFit="1" customWidth="1"/>
    <col min="8732" max="8733" width="6.3984375" style="181" bestFit="1" customWidth="1"/>
    <col min="8734" max="8743" width="6.3984375" style="181" customWidth="1"/>
    <col min="8744" max="8744" width="7.19921875" style="181" bestFit="1" customWidth="1"/>
    <col min="8745" max="8745" width="4.59765625" style="181" bestFit="1" customWidth="1"/>
    <col min="8746" max="8746" width="6.69921875" style="181" customWidth="1"/>
    <col min="8747" max="8747" width="5.8984375" style="181" bestFit="1" customWidth="1"/>
    <col min="8748" max="8748" width="5.69921875" style="181" bestFit="1" customWidth="1"/>
    <col min="8749" max="8749" width="4.8984375" style="181" bestFit="1" customWidth="1"/>
    <col min="8750" max="8750" width="5.69921875" style="181" bestFit="1" customWidth="1"/>
    <col min="8751" max="8751" width="4.8984375" style="181" bestFit="1" customWidth="1"/>
    <col min="8752" max="8752" width="5.69921875" style="181" bestFit="1" customWidth="1"/>
    <col min="8753" max="8753" width="5.3984375" style="181" bestFit="1" customWidth="1"/>
    <col min="8754" max="8754" width="6.3984375" style="181" bestFit="1" customWidth="1"/>
    <col min="8755" max="8755" width="8.8984375" style="181" customWidth="1"/>
    <col min="8756" max="8766" width="5.8984375" style="181" bestFit="1" customWidth="1"/>
    <col min="8767" max="8964" width="8.796875" style="181"/>
    <col min="8965" max="8965" width="8.3984375" style="181" customWidth="1"/>
    <col min="8966" max="8966" width="7" style="181" customWidth="1"/>
    <col min="8967" max="8967" width="5.3984375" style="181" bestFit="1" customWidth="1"/>
    <col min="8968" max="8968" width="6.8984375" style="181" bestFit="1" customWidth="1"/>
    <col min="8969" max="8969" width="7.8984375" style="181" bestFit="1" customWidth="1"/>
    <col min="8970" max="8971" width="6.8984375" style="181" customWidth="1"/>
    <col min="8972" max="8972" width="8.59765625" style="181" customWidth="1"/>
    <col min="8973" max="8973" width="9.09765625" style="181" customWidth="1"/>
    <col min="8974" max="8974" width="5.8984375" style="181" bestFit="1" customWidth="1"/>
    <col min="8975" max="8975" width="6.3984375" style="181" bestFit="1" customWidth="1"/>
    <col min="8976" max="8976" width="5.69921875" style="181" bestFit="1" customWidth="1"/>
    <col min="8977" max="8977" width="4.8984375" style="181" bestFit="1" customWidth="1"/>
    <col min="8978" max="8978" width="5.69921875" style="181" bestFit="1" customWidth="1"/>
    <col min="8979" max="8979" width="4.8984375" style="181" bestFit="1" customWidth="1"/>
    <col min="8980" max="8980" width="4.3984375" style="181" bestFit="1" customWidth="1"/>
    <col min="8981" max="8981" width="5.3984375" style="181" bestFit="1" customWidth="1"/>
    <col min="8982" max="8982" width="5.5" style="181" customWidth="1"/>
    <col min="8983" max="8983" width="5.3984375" style="181" bestFit="1" customWidth="1"/>
    <col min="8984" max="8984" width="6" style="181" customWidth="1"/>
    <col min="8985" max="8985" width="5.09765625" style="181" customWidth="1"/>
    <col min="8986" max="8986" width="5.8984375" style="181" customWidth="1"/>
    <col min="8987" max="8987" width="7.3984375" style="181" bestFit="1" customWidth="1"/>
    <col min="8988" max="8989" width="6.3984375" style="181" bestFit="1" customWidth="1"/>
    <col min="8990" max="8999" width="6.3984375" style="181" customWidth="1"/>
    <col min="9000" max="9000" width="7.19921875" style="181" bestFit="1" customWidth="1"/>
    <col min="9001" max="9001" width="4.59765625" style="181" bestFit="1" customWidth="1"/>
    <col min="9002" max="9002" width="6.69921875" style="181" customWidth="1"/>
    <col min="9003" max="9003" width="5.8984375" style="181" bestFit="1" customWidth="1"/>
    <col min="9004" max="9004" width="5.69921875" style="181" bestFit="1" customWidth="1"/>
    <col min="9005" max="9005" width="4.8984375" style="181" bestFit="1" customWidth="1"/>
    <col min="9006" max="9006" width="5.69921875" style="181" bestFit="1" customWidth="1"/>
    <col min="9007" max="9007" width="4.8984375" style="181" bestFit="1" customWidth="1"/>
    <col min="9008" max="9008" width="5.69921875" style="181" bestFit="1" customWidth="1"/>
    <col min="9009" max="9009" width="5.3984375" style="181" bestFit="1" customWidth="1"/>
    <col min="9010" max="9010" width="6.3984375" style="181" bestFit="1" customWidth="1"/>
    <col min="9011" max="9011" width="8.8984375" style="181" customWidth="1"/>
    <col min="9012" max="9022" width="5.8984375" style="181" bestFit="1" customWidth="1"/>
    <col min="9023" max="9220" width="8.796875" style="181"/>
    <col min="9221" max="9221" width="8.3984375" style="181" customWidth="1"/>
    <col min="9222" max="9222" width="7" style="181" customWidth="1"/>
    <col min="9223" max="9223" width="5.3984375" style="181" bestFit="1" customWidth="1"/>
    <col min="9224" max="9224" width="6.8984375" style="181" bestFit="1" customWidth="1"/>
    <col min="9225" max="9225" width="7.8984375" style="181" bestFit="1" customWidth="1"/>
    <col min="9226" max="9227" width="6.8984375" style="181" customWidth="1"/>
    <col min="9228" max="9228" width="8.59765625" style="181" customWidth="1"/>
    <col min="9229" max="9229" width="9.09765625" style="181" customWidth="1"/>
    <col min="9230" max="9230" width="5.8984375" style="181" bestFit="1" customWidth="1"/>
    <col min="9231" max="9231" width="6.3984375" style="181" bestFit="1" customWidth="1"/>
    <col min="9232" max="9232" width="5.69921875" style="181" bestFit="1" customWidth="1"/>
    <col min="9233" max="9233" width="4.8984375" style="181" bestFit="1" customWidth="1"/>
    <col min="9234" max="9234" width="5.69921875" style="181" bestFit="1" customWidth="1"/>
    <col min="9235" max="9235" width="4.8984375" style="181" bestFit="1" customWidth="1"/>
    <col min="9236" max="9236" width="4.3984375" style="181" bestFit="1" customWidth="1"/>
    <col min="9237" max="9237" width="5.3984375" style="181" bestFit="1" customWidth="1"/>
    <col min="9238" max="9238" width="5.5" style="181" customWidth="1"/>
    <col min="9239" max="9239" width="5.3984375" style="181" bestFit="1" customWidth="1"/>
    <col min="9240" max="9240" width="6" style="181" customWidth="1"/>
    <col min="9241" max="9241" width="5.09765625" style="181" customWidth="1"/>
    <col min="9242" max="9242" width="5.8984375" style="181" customWidth="1"/>
    <col min="9243" max="9243" width="7.3984375" style="181" bestFit="1" customWidth="1"/>
    <col min="9244" max="9245" width="6.3984375" style="181" bestFit="1" customWidth="1"/>
    <col min="9246" max="9255" width="6.3984375" style="181" customWidth="1"/>
    <col min="9256" max="9256" width="7.19921875" style="181" bestFit="1" customWidth="1"/>
    <col min="9257" max="9257" width="4.59765625" style="181" bestFit="1" customWidth="1"/>
    <col min="9258" max="9258" width="6.69921875" style="181" customWidth="1"/>
    <col min="9259" max="9259" width="5.8984375" style="181" bestFit="1" customWidth="1"/>
    <col min="9260" max="9260" width="5.69921875" style="181" bestFit="1" customWidth="1"/>
    <col min="9261" max="9261" width="4.8984375" style="181" bestFit="1" customWidth="1"/>
    <col min="9262" max="9262" width="5.69921875" style="181" bestFit="1" customWidth="1"/>
    <col min="9263" max="9263" width="4.8984375" style="181" bestFit="1" customWidth="1"/>
    <col min="9264" max="9264" width="5.69921875" style="181" bestFit="1" customWidth="1"/>
    <col min="9265" max="9265" width="5.3984375" style="181" bestFit="1" customWidth="1"/>
    <col min="9266" max="9266" width="6.3984375" style="181" bestFit="1" customWidth="1"/>
    <col min="9267" max="9267" width="8.8984375" style="181" customWidth="1"/>
    <col min="9268" max="9278" width="5.8984375" style="181" bestFit="1" customWidth="1"/>
    <col min="9279" max="9476" width="8.796875" style="181"/>
    <col min="9477" max="9477" width="8.3984375" style="181" customWidth="1"/>
    <col min="9478" max="9478" width="7" style="181" customWidth="1"/>
    <col min="9479" max="9479" width="5.3984375" style="181" bestFit="1" customWidth="1"/>
    <col min="9480" max="9480" width="6.8984375" style="181" bestFit="1" customWidth="1"/>
    <col min="9481" max="9481" width="7.8984375" style="181" bestFit="1" customWidth="1"/>
    <col min="9482" max="9483" width="6.8984375" style="181" customWidth="1"/>
    <col min="9484" max="9484" width="8.59765625" style="181" customWidth="1"/>
    <col min="9485" max="9485" width="9.09765625" style="181" customWidth="1"/>
    <col min="9486" max="9486" width="5.8984375" style="181" bestFit="1" customWidth="1"/>
    <col min="9487" max="9487" width="6.3984375" style="181" bestFit="1" customWidth="1"/>
    <col min="9488" max="9488" width="5.69921875" style="181" bestFit="1" customWidth="1"/>
    <col min="9489" max="9489" width="4.8984375" style="181" bestFit="1" customWidth="1"/>
    <col min="9490" max="9490" width="5.69921875" style="181" bestFit="1" customWidth="1"/>
    <col min="9491" max="9491" width="4.8984375" style="181" bestFit="1" customWidth="1"/>
    <col min="9492" max="9492" width="4.3984375" style="181" bestFit="1" customWidth="1"/>
    <col min="9493" max="9493" width="5.3984375" style="181" bestFit="1" customWidth="1"/>
    <col min="9494" max="9494" width="5.5" style="181" customWidth="1"/>
    <col min="9495" max="9495" width="5.3984375" style="181" bestFit="1" customWidth="1"/>
    <col min="9496" max="9496" width="6" style="181" customWidth="1"/>
    <col min="9497" max="9497" width="5.09765625" style="181" customWidth="1"/>
    <col min="9498" max="9498" width="5.8984375" style="181" customWidth="1"/>
    <col min="9499" max="9499" width="7.3984375" style="181" bestFit="1" customWidth="1"/>
    <col min="9500" max="9501" width="6.3984375" style="181" bestFit="1" customWidth="1"/>
    <col min="9502" max="9511" width="6.3984375" style="181" customWidth="1"/>
    <col min="9512" max="9512" width="7.19921875" style="181" bestFit="1" customWidth="1"/>
    <col min="9513" max="9513" width="4.59765625" style="181" bestFit="1" customWidth="1"/>
    <col min="9514" max="9514" width="6.69921875" style="181" customWidth="1"/>
    <col min="9515" max="9515" width="5.8984375" style="181" bestFit="1" customWidth="1"/>
    <col min="9516" max="9516" width="5.69921875" style="181" bestFit="1" customWidth="1"/>
    <col min="9517" max="9517" width="4.8984375" style="181" bestFit="1" customWidth="1"/>
    <col min="9518" max="9518" width="5.69921875" style="181" bestFit="1" customWidth="1"/>
    <col min="9519" max="9519" width="4.8984375" style="181" bestFit="1" customWidth="1"/>
    <col min="9520" max="9520" width="5.69921875" style="181" bestFit="1" customWidth="1"/>
    <col min="9521" max="9521" width="5.3984375" style="181" bestFit="1" customWidth="1"/>
    <col min="9522" max="9522" width="6.3984375" style="181" bestFit="1" customWidth="1"/>
    <col min="9523" max="9523" width="8.8984375" style="181" customWidth="1"/>
    <col min="9524" max="9534" width="5.8984375" style="181" bestFit="1" customWidth="1"/>
    <col min="9535" max="9732" width="8.796875" style="181"/>
    <col min="9733" max="9733" width="8.3984375" style="181" customWidth="1"/>
    <col min="9734" max="9734" width="7" style="181" customWidth="1"/>
    <col min="9735" max="9735" width="5.3984375" style="181" bestFit="1" customWidth="1"/>
    <col min="9736" max="9736" width="6.8984375" style="181" bestFit="1" customWidth="1"/>
    <col min="9737" max="9737" width="7.8984375" style="181" bestFit="1" customWidth="1"/>
    <col min="9738" max="9739" width="6.8984375" style="181" customWidth="1"/>
    <col min="9740" max="9740" width="8.59765625" style="181" customWidth="1"/>
    <col min="9741" max="9741" width="9.09765625" style="181" customWidth="1"/>
    <col min="9742" max="9742" width="5.8984375" style="181" bestFit="1" customWidth="1"/>
    <col min="9743" max="9743" width="6.3984375" style="181" bestFit="1" customWidth="1"/>
    <col min="9744" max="9744" width="5.69921875" style="181" bestFit="1" customWidth="1"/>
    <col min="9745" max="9745" width="4.8984375" style="181" bestFit="1" customWidth="1"/>
    <col min="9746" max="9746" width="5.69921875" style="181" bestFit="1" customWidth="1"/>
    <col min="9747" max="9747" width="4.8984375" style="181" bestFit="1" customWidth="1"/>
    <col min="9748" max="9748" width="4.3984375" style="181" bestFit="1" customWidth="1"/>
    <col min="9749" max="9749" width="5.3984375" style="181" bestFit="1" customWidth="1"/>
    <col min="9750" max="9750" width="5.5" style="181" customWidth="1"/>
    <col min="9751" max="9751" width="5.3984375" style="181" bestFit="1" customWidth="1"/>
    <col min="9752" max="9752" width="6" style="181" customWidth="1"/>
    <col min="9753" max="9753" width="5.09765625" style="181" customWidth="1"/>
    <col min="9754" max="9754" width="5.8984375" style="181" customWidth="1"/>
    <col min="9755" max="9755" width="7.3984375" style="181" bestFit="1" customWidth="1"/>
    <col min="9756" max="9757" width="6.3984375" style="181" bestFit="1" customWidth="1"/>
    <col min="9758" max="9767" width="6.3984375" style="181" customWidth="1"/>
    <col min="9768" max="9768" width="7.19921875" style="181" bestFit="1" customWidth="1"/>
    <col min="9769" max="9769" width="4.59765625" style="181" bestFit="1" customWidth="1"/>
    <col min="9770" max="9770" width="6.69921875" style="181" customWidth="1"/>
    <col min="9771" max="9771" width="5.8984375" style="181" bestFit="1" customWidth="1"/>
    <col min="9772" max="9772" width="5.69921875" style="181" bestFit="1" customWidth="1"/>
    <col min="9773" max="9773" width="4.8984375" style="181" bestFit="1" customWidth="1"/>
    <col min="9774" max="9774" width="5.69921875" style="181" bestFit="1" customWidth="1"/>
    <col min="9775" max="9775" width="4.8984375" style="181" bestFit="1" customWidth="1"/>
    <col min="9776" max="9776" width="5.69921875" style="181" bestFit="1" customWidth="1"/>
    <col min="9777" max="9777" width="5.3984375" style="181" bestFit="1" customWidth="1"/>
    <col min="9778" max="9778" width="6.3984375" style="181" bestFit="1" customWidth="1"/>
    <col min="9779" max="9779" width="8.8984375" style="181" customWidth="1"/>
    <col min="9780" max="9790" width="5.8984375" style="181" bestFit="1" customWidth="1"/>
    <col min="9791" max="9988" width="8.796875" style="181"/>
    <col min="9989" max="9989" width="8.3984375" style="181" customWidth="1"/>
    <col min="9990" max="9990" width="7" style="181" customWidth="1"/>
    <col min="9991" max="9991" width="5.3984375" style="181" bestFit="1" customWidth="1"/>
    <col min="9992" max="9992" width="6.8984375" style="181" bestFit="1" customWidth="1"/>
    <col min="9993" max="9993" width="7.8984375" style="181" bestFit="1" customWidth="1"/>
    <col min="9994" max="9995" width="6.8984375" style="181" customWidth="1"/>
    <col min="9996" max="9996" width="8.59765625" style="181" customWidth="1"/>
    <col min="9997" max="9997" width="9.09765625" style="181" customWidth="1"/>
    <col min="9998" max="9998" width="5.8984375" style="181" bestFit="1" customWidth="1"/>
    <col min="9999" max="9999" width="6.3984375" style="181" bestFit="1" customWidth="1"/>
    <col min="10000" max="10000" width="5.69921875" style="181" bestFit="1" customWidth="1"/>
    <col min="10001" max="10001" width="4.8984375" style="181" bestFit="1" customWidth="1"/>
    <col min="10002" max="10002" width="5.69921875" style="181" bestFit="1" customWidth="1"/>
    <col min="10003" max="10003" width="4.8984375" style="181" bestFit="1" customWidth="1"/>
    <col min="10004" max="10004" width="4.3984375" style="181" bestFit="1" customWidth="1"/>
    <col min="10005" max="10005" width="5.3984375" style="181" bestFit="1" customWidth="1"/>
    <col min="10006" max="10006" width="5.5" style="181" customWidth="1"/>
    <col min="10007" max="10007" width="5.3984375" style="181" bestFit="1" customWidth="1"/>
    <col min="10008" max="10008" width="6" style="181" customWidth="1"/>
    <col min="10009" max="10009" width="5.09765625" style="181" customWidth="1"/>
    <col min="10010" max="10010" width="5.8984375" style="181" customWidth="1"/>
    <col min="10011" max="10011" width="7.3984375" style="181" bestFit="1" customWidth="1"/>
    <col min="10012" max="10013" width="6.3984375" style="181" bestFit="1" customWidth="1"/>
    <col min="10014" max="10023" width="6.3984375" style="181" customWidth="1"/>
    <col min="10024" max="10024" width="7.19921875" style="181" bestFit="1" customWidth="1"/>
    <col min="10025" max="10025" width="4.59765625" style="181" bestFit="1" customWidth="1"/>
    <col min="10026" max="10026" width="6.69921875" style="181" customWidth="1"/>
    <col min="10027" max="10027" width="5.8984375" style="181" bestFit="1" customWidth="1"/>
    <col min="10028" max="10028" width="5.69921875" style="181" bestFit="1" customWidth="1"/>
    <col min="10029" max="10029" width="4.8984375" style="181" bestFit="1" customWidth="1"/>
    <col min="10030" max="10030" width="5.69921875" style="181" bestFit="1" customWidth="1"/>
    <col min="10031" max="10031" width="4.8984375" style="181" bestFit="1" customWidth="1"/>
    <col min="10032" max="10032" width="5.69921875" style="181" bestFit="1" customWidth="1"/>
    <col min="10033" max="10033" width="5.3984375" style="181" bestFit="1" customWidth="1"/>
    <col min="10034" max="10034" width="6.3984375" style="181" bestFit="1" customWidth="1"/>
    <col min="10035" max="10035" width="8.8984375" style="181" customWidth="1"/>
    <col min="10036" max="10046" width="5.8984375" style="181" bestFit="1" customWidth="1"/>
    <col min="10047" max="10244" width="8.796875" style="181"/>
    <col min="10245" max="10245" width="8.3984375" style="181" customWidth="1"/>
    <col min="10246" max="10246" width="7" style="181" customWidth="1"/>
    <col min="10247" max="10247" width="5.3984375" style="181" bestFit="1" customWidth="1"/>
    <col min="10248" max="10248" width="6.8984375" style="181" bestFit="1" customWidth="1"/>
    <col min="10249" max="10249" width="7.8984375" style="181" bestFit="1" customWidth="1"/>
    <col min="10250" max="10251" width="6.8984375" style="181" customWidth="1"/>
    <col min="10252" max="10252" width="8.59765625" style="181" customWidth="1"/>
    <col min="10253" max="10253" width="9.09765625" style="181" customWidth="1"/>
    <col min="10254" max="10254" width="5.8984375" style="181" bestFit="1" customWidth="1"/>
    <col min="10255" max="10255" width="6.3984375" style="181" bestFit="1" customWidth="1"/>
    <col min="10256" max="10256" width="5.69921875" style="181" bestFit="1" customWidth="1"/>
    <col min="10257" max="10257" width="4.8984375" style="181" bestFit="1" customWidth="1"/>
    <col min="10258" max="10258" width="5.69921875" style="181" bestFit="1" customWidth="1"/>
    <col min="10259" max="10259" width="4.8984375" style="181" bestFit="1" customWidth="1"/>
    <col min="10260" max="10260" width="4.3984375" style="181" bestFit="1" customWidth="1"/>
    <col min="10261" max="10261" width="5.3984375" style="181" bestFit="1" customWidth="1"/>
    <col min="10262" max="10262" width="5.5" style="181" customWidth="1"/>
    <col min="10263" max="10263" width="5.3984375" style="181" bestFit="1" customWidth="1"/>
    <col min="10264" max="10264" width="6" style="181" customWidth="1"/>
    <col min="10265" max="10265" width="5.09765625" style="181" customWidth="1"/>
    <col min="10266" max="10266" width="5.8984375" style="181" customWidth="1"/>
    <col min="10267" max="10267" width="7.3984375" style="181" bestFit="1" customWidth="1"/>
    <col min="10268" max="10269" width="6.3984375" style="181" bestFit="1" customWidth="1"/>
    <col min="10270" max="10279" width="6.3984375" style="181" customWidth="1"/>
    <col min="10280" max="10280" width="7.19921875" style="181" bestFit="1" customWidth="1"/>
    <col min="10281" max="10281" width="4.59765625" style="181" bestFit="1" customWidth="1"/>
    <col min="10282" max="10282" width="6.69921875" style="181" customWidth="1"/>
    <col min="10283" max="10283" width="5.8984375" style="181" bestFit="1" customWidth="1"/>
    <col min="10284" max="10284" width="5.69921875" style="181" bestFit="1" customWidth="1"/>
    <col min="10285" max="10285" width="4.8984375" style="181" bestFit="1" customWidth="1"/>
    <col min="10286" max="10286" width="5.69921875" style="181" bestFit="1" customWidth="1"/>
    <col min="10287" max="10287" width="4.8984375" style="181" bestFit="1" customWidth="1"/>
    <col min="10288" max="10288" width="5.69921875" style="181" bestFit="1" customWidth="1"/>
    <col min="10289" max="10289" width="5.3984375" style="181" bestFit="1" customWidth="1"/>
    <col min="10290" max="10290" width="6.3984375" style="181" bestFit="1" customWidth="1"/>
    <col min="10291" max="10291" width="8.8984375" style="181" customWidth="1"/>
    <col min="10292" max="10302" width="5.8984375" style="181" bestFit="1" customWidth="1"/>
    <col min="10303" max="10500" width="8.796875" style="181"/>
    <col min="10501" max="10501" width="8.3984375" style="181" customWidth="1"/>
    <col min="10502" max="10502" width="7" style="181" customWidth="1"/>
    <col min="10503" max="10503" width="5.3984375" style="181" bestFit="1" customWidth="1"/>
    <col min="10504" max="10504" width="6.8984375" style="181" bestFit="1" customWidth="1"/>
    <col min="10505" max="10505" width="7.8984375" style="181" bestFit="1" customWidth="1"/>
    <col min="10506" max="10507" width="6.8984375" style="181" customWidth="1"/>
    <col min="10508" max="10508" width="8.59765625" style="181" customWidth="1"/>
    <col min="10509" max="10509" width="9.09765625" style="181" customWidth="1"/>
    <col min="10510" max="10510" width="5.8984375" style="181" bestFit="1" customWidth="1"/>
    <col min="10511" max="10511" width="6.3984375" style="181" bestFit="1" customWidth="1"/>
    <col min="10512" max="10512" width="5.69921875" style="181" bestFit="1" customWidth="1"/>
    <col min="10513" max="10513" width="4.8984375" style="181" bestFit="1" customWidth="1"/>
    <col min="10514" max="10514" width="5.69921875" style="181" bestFit="1" customWidth="1"/>
    <col min="10515" max="10515" width="4.8984375" style="181" bestFit="1" customWidth="1"/>
    <col min="10516" max="10516" width="4.3984375" style="181" bestFit="1" customWidth="1"/>
    <col min="10517" max="10517" width="5.3984375" style="181" bestFit="1" customWidth="1"/>
    <col min="10518" max="10518" width="5.5" style="181" customWidth="1"/>
    <col min="10519" max="10519" width="5.3984375" style="181" bestFit="1" customWidth="1"/>
    <col min="10520" max="10520" width="6" style="181" customWidth="1"/>
    <col min="10521" max="10521" width="5.09765625" style="181" customWidth="1"/>
    <col min="10522" max="10522" width="5.8984375" style="181" customWidth="1"/>
    <col min="10523" max="10523" width="7.3984375" style="181" bestFit="1" customWidth="1"/>
    <col min="10524" max="10525" width="6.3984375" style="181" bestFit="1" customWidth="1"/>
    <col min="10526" max="10535" width="6.3984375" style="181" customWidth="1"/>
    <col min="10536" max="10536" width="7.19921875" style="181" bestFit="1" customWidth="1"/>
    <col min="10537" max="10537" width="4.59765625" style="181" bestFit="1" customWidth="1"/>
    <col min="10538" max="10538" width="6.69921875" style="181" customWidth="1"/>
    <col min="10539" max="10539" width="5.8984375" style="181" bestFit="1" customWidth="1"/>
    <col min="10540" max="10540" width="5.69921875" style="181" bestFit="1" customWidth="1"/>
    <col min="10541" max="10541" width="4.8984375" style="181" bestFit="1" customWidth="1"/>
    <col min="10542" max="10542" width="5.69921875" style="181" bestFit="1" customWidth="1"/>
    <col min="10543" max="10543" width="4.8984375" style="181" bestFit="1" customWidth="1"/>
    <col min="10544" max="10544" width="5.69921875" style="181" bestFit="1" customWidth="1"/>
    <col min="10545" max="10545" width="5.3984375" style="181" bestFit="1" customWidth="1"/>
    <col min="10546" max="10546" width="6.3984375" style="181" bestFit="1" customWidth="1"/>
    <col min="10547" max="10547" width="8.8984375" style="181" customWidth="1"/>
    <col min="10548" max="10558" width="5.8984375" style="181" bestFit="1" customWidth="1"/>
    <col min="10559" max="10756" width="8.796875" style="181"/>
    <col min="10757" max="10757" width="8.3984375" style="181" customWidth="1"/>
    <col min="10758" max="10758" width="7" style="181" customWidth="1"/>
    <col min="10759" max="10759" width="5.3984375" style="181" bestFit="1" customWidth="1"/>
    <col min="10760" max="10760" width="6.8984375" style="181" bestFit="1" customWidth="1"/>
    <col min="10761" max="10761" width="7.8984375" style="181" bestFit="1" customWidth="1"/>
    <col min="10762" max="10763" width="6.8984375" style="181" customWidth="1"/>
    <col min="10764" max="10764" width="8.59765625" style="181" customWidth="1"/>
    <col min="10765" max="10765" width="9.09765625" style="181" customWidth="1"/>
    <col min="10766" max="10766" width="5.8984375" style="181" bestFit="1" customWidth="1"/>
    <col min="10767" max="10767" width="6.3984375" style="181" bestFit="1" customWidth="1"/>
    <col min="10768" max="10768" width="5.69921875" style="181" bestFit="1" customWidth="1"/>
    <col min="10769" max="10769" width="4.8984375" style="181" bestFit="1" customWidth="1"/>
    <col min="10770" max="10770" width="5.69921875" style="181" bestFit="1" customWidth="1"/>
    <col min="10771" max="10771" width="4.8984375" style="181" bestFit="1" customWidth="1"/>
    <col min="10772" max="10772" width="4.3984375" style="181" bestFit="1" customWidth="1"/>
    <col min="10773" max="10773" width="5.3984375" style="181" bestFit="1" customWidth="1"/>
    <col min="10774" max="10774" width="5.5" style="181" customWidth="1"/>
    <col min="10775" max="10775" width="5.3984375" style="181" bestFit="1" customWidth="1"/>
    <col min="10776" max="10776" width="6" style="181" customWidth="1"/>
    <col min="10777" max="10777" width="5.09765625" style="181" customWidth="1"/>
    <col min="10778" max="10778" width="5.8984375" style="181" customWidth="1"/>
    <col min="10779" max="10779" width="7.3984375" style="181" bestFit="1" customWidth="1"/>
    <col min="10780" max="10781" width="6.3984375" style="181" bestFit="1" customWidth="1"/>
    <col min="10782" max="10791" width="6.3984375" style="181" customWidth="1"/>
    <col min="10792" max="10792" width="7.19921875" style="181" bestFit="1" customWidth="1"/>
    <col min="10793" max="10793" width="4.59765625" style="181" bestFit="1" customWidth="1"/>
    <col min="10794" max="10794" width="6.69921875" style="181" customWidth="1"/>
    <col min="10795" max="10795" width="5.8984375" style="181" bestFit="1" customWidth="1"/>
    <col min="10796" max="10796" width="5.69921875" style="181" bestFit="1" customWidth="1"/>
    <col min="10797" max="10797" width="4.8984375" style="181" bestFit="1" customWidth="1"/>
    <col min="10798" max="10798" width="5.69921875" style="181" bestFit="1" customWidth="1"/>
    <col min="10799" max="10799" width="4.8984375" style="181" bestFit="1" customWidth="1"/>
    <col min="10800" max="10800" width="5.69921875" style="181" bestFit="1" customWidth="1"/>
    <col min="10801" max="10801" width="5.3984375" style="181" bestFit="1" customWidth="1"/>
    <col min="10802" max="10802" width="6.3984375" style="181" bestFit="1" customWidth="1"/>
    <col min="10803" max="10803" width="8.8984375" style="181" customWidth="1"/>
    <col min="10804" max="10814" width="5.8984375" style="181" bestFit="1" customWidth="1"/>
    <col min="10815" max="11012" width="8.796875" style="181"/>
    <col min="11013" max="11013" width="8.3984375" style="181" customWidth="1"/>
    <col min="11014" max="11014" width="7" style="181" customWidth="1"/>
    <col min="11015" max="11015" width="5.3984375" style="181" bestFit="1" customWidth="1"/>
    <col min="11016" max="11016" width="6.8984375" style="181" bestFit="1" customWidth="1"/>
    <col min="11017" max="11017" width="7.8984375" style="181" bestFit="1" customWidth="1"/>
    <col min="11018" max="11019" width="6.8984375" style="181" customWidth="1"/>
    <col min="11020" max="11020" width="8.59765625" style="181" customWidth="1"/>
    <col min="11021" max="11021" width="9.09765625" style="181" customWidth="1"/>
    <col min="11022" max="11022" width="5.8984375" style="181" bestFit="1" customWidth="1"/>
    <col min="11023" max="11023" width="6.3984375" style="181" bestFit="1" customWidth="1"/>
    <col min="11024" max="11024" width="5.69921875" style="181" bestFit="1" customWidth="1"/>
    <col min="11025" max="11025" width="4.8984375" style="181" bestFit="1" customWidth="1"/>
    <col min="11026" max="11026" width="5.69921875" style="181" bestFit="1" customWidth="1"/>
    <col min="11027" max="11027" width="4.8984375" style="181" bestFit="1" customWidth="1"/>
    <col min="11028" max="11028" width="4.3984375" style="181" bestFit="1" customWidth="1"/>
    <col min="11029" max="11029" width="5.3984375" style="181" bestFit="1" customWidth="1"/>
    <col min="11030" max="11030" width="5.5" style="181" customWidth="1"/>
    <col min="11031" max="11031" width="5.3984375" style="181" bestFit="1" customWidth="1"/>
    <col min="11032" max="11032" width="6" style="181" customWidth="1"/>
    <col min="11033" max="11033" width="5.09765625" style="181" customWidth="1"/>
    <col min="11034" max="11034" width="5.8984375" style="181" customWidth="1"/>
    <col min="11035" max="11035" width="7.3984375" style="181" bestFit="1" customWidth="1"/>
    <col min="11036" max="11037" width="6.3984375" style="181" bestFit="1" customWidth="1"/>
    <col min="11038" max="11047" width="6.3984375" style="181" customWidth="1"/>
    <col min="11048" max="11048" width="7.19921875" style="181" bestFit="1" customWidth="1"/>
    <col min="11049" max="11049" width="4.59765625" style="181" bestFit="1" customWidth="1"/>
    <col min="11050" max="11050" width="6.69921875" style="181" customWidth="1"/>
    <col min="11051" max="11051" width="5.8984375" style="181" bestFit="1" customWidth="1"/>
    <col min="11052" max="11052" width="5.69921875" style="181" bestFit="1" customWidth="1"/>
    <col min="11053" max="11053" width="4.8984375" style="181" bestFit="1" customWidth="1"/>
    <col min="11054" max="11054" width="5.69921875" style="181" bestFit="1" customWidth="1"/>
    <col min="11055" max="11055" width="4.8984375" style="181" bestFit="1" customWidth="1"/>
    <col min="11056" max="11056" width="5.69921875" style="181" bestFit="1" customWidth="1"/>
    <col min="11057" max="11057" width="5.3984375" style="181" bestFit="1" customWidth="1"/>
    <col min="11058" max="11058" width="6.3984375" style="181" bestFit="1" customWidth="1"/>
    <col min="11059" max="11059" width="8.8984375" style="181" customWidth="1"/>
    <col min="11060" max="11070" width="5.8984375" style="181" bestFit="1" customWidth="1"/>
    <col min="11071" max="11268" width="8.796875" style="181"/>
    <col min="11269" max="11269" width="8.3984375" style="181" customWidth="1"/>
    <col min="11270" max="11270" width="7" style="181" customWidth="1"/>
    <col min="11271" max="11271" width="5.3984375" style="181" bestFit="1" customWidth="1"/>
    <col min="11272" max="11272" width="6.8984375" style="181" bestFit="1" customWidth="1"/>
    <col min="11273" max="11273" width="7.8984375" style="181" bestFit="1" customWidth="1"/>
    <col min="11274" max="11275" width="6.8984375" style="181" customWidth="1"/>
    <col min="11276" max="11276" width="8.59765625" style="181" customWidth="1"/>
    <col min="11277" max="11277" width="9.09765625" style="181" customWidth="1"/>
    <col min="11278" max="11278" width="5.8984375" style="181" bestFit="1" customWidth="1"/>
    <col min="11279" max="11279" width="6.3984375" style="181" bestFit="1" customWidth="1"/>
    <col min="11280" max="11280" width="5.69921875" style="181" bestFit="1" customWidth="1"/>
    <col min="11281" max="11281" width="4.8984375" style="181" bestFit="1" customWidth="1"/>
    <col min="11282" max="11282" width="5.69921875" style="181" bestFit="1" customWidth="1"/>
    <col min="11283" max="11283" width="4.8984375" style="181" bestFit="1" customWidth="1"/>
    <col min="11284" max="11284" width="4.3984375" style="181" bestFit="1" customWidth="1"/>
    <col min="11285" max="11285" width="5.3984375" style="181" bestFit="1" customWidth="1"/>
    <col min="11286" max="11286" width="5.5" style="181" customWidth="1"/>
    <col min="11287" max="11287" width="5.3984375" style="181" bestFit="1" customWidth="1"/>
    <col min="11288" max="11288" width="6" style="181" customWidth="1"/>
    <col min="11289" max="11289" width="5.09765625" style="181" customWidth="1"/>
    <col min="11290" max="11290" width="5.8984375" style="181" customWidth="1"/>
    <col min="11291" max="11291" width="7.3984375" style="181" bestFit="1" customWidth="1"/>
    <col min="11292" max="11293" width="6.3984375" style="181" bestFit="1" customWidth="1"/>
    <col min="11294" max="11303" width="6.3984375" style="181" customWidth="1"/>
    <col min="11304" max="11304" width="7.19921875" style="181" bestFit="1" customWidth="1"/>
    <col min="11305" max="11305" width="4.59765625" style="181" bestFit="1" customWidth="1"/>
    <col min="11306" max="11306" width="6.69921875" style="181" customWidth="1"/>
    <col min="11307" max="11307" width="5.8984375" style="181" bestFit="1" customWidth="1"/>
    <col min="11308" max="11308" width="5.69921875" style="181" bestFit="1" customWidth="1"/>
    <col min="11309" max="11309" width="4.8984375" style="181" bestFit="1" customWidth="1"/>
    <col min="11310" max="11310" width="5.69921875" style="181" bestFit="1" customWidth="1"/>
    <col min="11311" max="11311" width="4.8984375" style="181" bestFit="1" customWidth="1"/>
    <col min="11312" max="11312" width="5.69921875" style="181" bestFit="1" customWidth="1"/>
    <col min="11313" max="11313" width="5.3984375" style="181" bestFit="1" customWidth="1"/>
    <col min="11314" max="11314" width="6.3984375" style="181" bestFit="1" customWidth="1"/>
    <col min="11315" max="11315" width="8.8984375" style="181" customWidth="1"/>
    <col min="11316" max="11326" width="5.8984375" style="181" bestFit="1" customWidth="1"/>
    <col min="11327" max="11524" width="8.796875" style="181"/>
    <col min="11525" max="11525" width="8.3984375" style="181" customWidth="1"/>
    <col min="11526" max="11526" width="7" style="181" customWidth="1"/>
    <col min="11527" max="11527" width="5.3984375" style="181" bestFit="1" customWidth="1"/>
    <col min="11528" max="11528" width="6.8984375" style="181" bestFit="1" customWidth="1"/>
    <col min="11529" max="11529" width="7.8984375" style="181" bestFit="1" customWidth="1"/>
    <col min="11530" max="11531" width="6.8984375" style="181" customWidth="1"/>
    <col min="11532" max="11532" width="8.59765625" style="181" customWidth="1"/>
    <col min="11533" max="11533" width="9.09765625" style="181" customWidth="1"/>
    <col min="11534" max="11534" width="5.8984375" style="181" bestFit="1" customWidth="1"/>
    <col min="11535" max="11535" width="6.3984375" style="181" bestFit="1" customWidth="1"/>
    <col min="11536" max="11536" width="5.69921875" style="181" bestFit="1" customWidth="1"/>
    <col min="11537" max="11537" width="4.8984375" style="181" bestFit="1" customWidth="1"/>
    <col min="11538" max="11538" width="5.69921875" style="181" bestFit="1" customWidth="1"/>
    <col min="11539" max="11539" width="4.8984375" style="181" bestFit="1" customWidth="1"/>
    <col min="11540" max="11540" width="4.3984375" style="181" bestFit="1" customWidth="1"/>
    <col min="11541" max="11541" width="5.3984375" style="181" bestFit="1" customWidth="1"/>
    <col min="11542" max="11542" width="5.5" style="181" customWidth="1"/>
    <col min="11543" max="11543" width="5.3984375" style="181" bestFit="1" customWidth="1"/>
    <col min="11544" max="11544" width="6" style="181" customWidth="1"/>
    <col min="11545" max="11545" width="5.09765625" style="181" customWidth="1"/>
    <col min="11546" max="11546" width="5.8984375" style="181" customWidth="1"/>
    <col min="11547" max="11547" width="7.3984375" style="181" bestFit="1" customWidth="1"/>
    <col min="11548" max="11549" width="6.3984375" style="181" bestFit="1" customWidth="1"/>
    <col min="11550" max="11559" width="6.3984375" style="181" customWidth="1"/>
    <col min="11560" max="11560" width="7.19921875" style="181" bestFit="1" customWidth="1"/>
    <col min="11561" max="11561" width="4.59765625" style="181" bestFit="1" customWidth="1"/>
    <col min="11562" max="11562" width="6.69921875" style="181" customWidth="1"/>
    <col min="11563" max="11563" width="5.8984375" style="181" bestFit="1" customWidth="1"/>
    <col min="11564" max="11564" width="5.69921875" style="181" bestFit="1" customWidth="1"/>
    <col min="11565" max="11565" width="4.8984375" style="181" bestFit="1" customWidth="1"/>
    <col min="11566" max="11566" width="5.69921875" style="181" bestFit="1" customWidth="1"/>
    <col min="11567" max="11567" width="4.8984375" style="181" bestFit="1" customWidth="1"/>
    <col min="11568" max="11568" width="5.69921875" style="181" bestFit="1" customWidth="1"/>
    <col min="11569" max="11569" width="5.3984375" style="181" bestFit="1" customWidth="1"/>
    <col min="11570" max="11570" width="6.3984375" style="181" bestFit="1" customWidth="1"/>
    <col min="11571" max="11571" width="8.8984375" style="181" customWidth="1"/>
    <col min="11572" max="11582" width="5.8984375" style="181" bestFit="1" customWidth="1"/>
    <col min="11583" max="11780" width="8.796875" style="181"/>
    <col min="11781" max="11781" width="8.3984375" style="181" customWidth="1"/>
    <col min="11782" max="11782" width="7" style="181" customWidth="1"/>
    <col min="11783" max="11783" width="5.3984375" style="181" bestFit="1" customWidth="1"/>
    <col min="11784" max="11784" width="6.8984375" style="181" bestFit="1" customWidth="1"/>
    <col min="11785" max="11785" width="7.8984375" style="181" bestFit="1" customWidth="1"/>
    <col min="11786" max="11787" width="6.8984375" style="181" customWidth="1"/>
    <col min="11788" max="11788" width="8.59765625" style="181" customWidth="1"/>
    <col min="11789" max="11789" width="9.09765625" style="181" customWidth="1"/>
    <col min="11790" max="11790" width="5.8984375" style="181" bestFit="1" customWidth="1"/>
    <col min="11791" max="11791" width="6.3984375" style="181" bestFit="1" customWidth="1"/>
    <col min="11792" max="11792" width="5.69921875" style="181" bestFit="1" customWidth="1"/>
    <col min="11793" max="11793" width="4.8984375" style="181" bestFit="1" customWidth="1"/>
    <col min="11794" max="11794" width="5.69921875" style="181" bestFit="1" customWidth="1"/>
    <col min="11795" max="11795" width="4.8984375" style="181" bestFit="1" customWidth="1"/>
    <col min="11796" max="11796" width="4.3984375" style="181" bestFit="1" customWidth="1"/>
    <col min="11797" max="11797" width="5.3984375" style="181" bestFit="1" customWidth="1"/>
    <col min="11798" max="11798" width="5.5" style="181" customWidth="1"/>
    <col min="11799" max="11799" width="5.3984375" style="181" bestFit="1" customWidth="1"/>
    <col min="11800" max="11800" width="6" style="181" customWidth="1"/>
    <col min="11801" max="11801" width="5.09765625" style="181" customWidth="1"/>
    <col min="11802" max="11802" width="5.8984375" style="181" customWidth="1"/>
    <col min="11803" max="11803" width="7.3984375" style="181" bestFit="1" customWidth="1"/>
    <col min="11804" max="11805" width="6.3984375" style="181" bestFit="1" customWidth="1"/>
    <col min="11806" max="11815" width="6.3984375" style="181" customWidth="1"/>
    <col min="11816" max="11816" width="7.19921875" style="181" bestFit="1" customWidth="1"/>
    <col min="11817" max="11817" width="4.59765625" style="181" bestFit="1" customWidth="1"/>
    <col min="11818" max="11818" width="6.69921875" style="181" customWidth="1"/>
    <col min="11819" max="11819" width="5.8984375" style="181" bestFit="1" customWidth="1"/>
    <col min="11820" max="11820" width="5.69921875" style="181" bestFit="1" customWidth="1"/>
    <col min="11821" max="11821" width="4.8984375" style="181" bestFit="1" customWidth="1"/>
    <col min="11822" max="11822" width="5.69921875" style="181" bestFit="1" customWidth="1"/>
    <col min="11823" max="11823" width="4.8984375" style="181" bestFit="1" customWidth="1"/>
    <col min="11824" max="11824" width="5.69921875" style="181" bestFit="1" customWidth="1"/>
    <col min="11825" max="11825" width="5.3984375" style="181" bestFit="1" customWidth="1"/>
    <col min="11826" max="11826" width="6.3984375" style="181" bestFit="1" customWidth="1"/>
    <col min="11827" max="11827" width="8.8984375" style="181" customWidth="1"/>
    <col min="11828" max="11838" width="5.8984375" style="181" bestFit="1" customWidth="1"/>
    <col min="11839" max="12036" width="8.796875" style="181"/>
    <col min="12037" max="12037" width="8.3984375" style="181" customWidth="1"/>
    <col min="12038" max="12038" width="7" style="181" customWidth="1"/>
    <col min="12039" max="12039" width="5.3984375" style="181" bestFit="1" customWidth="1"/>
    <col min="12040" max="12040" width="6.8984375" style="181" bestFit="1" customWidth="1"/>
    <col min="12041" max="12041" width="7.8984375" style="181" bestFit="1" customWidth="1"/>
    <col min="12042" max="12043" width="6.8984375" style="181" customWidth="1"/>
    <col min="12044" max="12044" width="8.59765625" style="181" customWidth="1"/>
    <col min="12045" max="12045" width="9.09765625" style="181" customWidth="1"/>
    <col min="12046" max="12046" width="5.8984375" style="181" bestFit="1" customWidth="1"/>
    <col min="12047" max="12047" width="6.3984375" style="181" bestFit="1" customWidth="1"/>
    <col min="12048" max="12048" width="5.69921875" style="181" bestFit="1" customWidth="1"/>
    <col min="12049" max="12049" width="4.8984375" style="181" bestFit="1" customWidth="1"/>
    <col min="12050" max="12050" width="5.69921875" style="181" bestFit="1" customWidth="1"/>
    <col min="12051" max="12051" width="4.8984375" style="181" bestFit="1" customWidth="1"/>
    <col min="12052" max="12052" width="4.3984375" style="181" bestFit="1" customWidth="1"/>
    <col min="12053" max="12053" width="5.3984375" style="181" bestFit="1" customWidth="1"/>
    <col min="12054" max="12054" width="5.5" style="181" customWidth="1"/>
    <col min="12055" max="12055" width="5.3984375" style="181" bestFit="1" customWidth="1"/>
    <col min="12056" max="12056" width="6" style="181" customWidth="1"/>
    <col min="12057" max="12057" width="5.09765625" style="181" customWidth="1"/>
    <col min="12058" max="12058" width="5.8984375" style="181" customWidth="1"/>
    <col min="12059" max="12059" width="7.3984375" style="181" bestFit="1" customWidth="1"/>
    <col min="12060" max="12061" width="6.3984375" style="181" bestFit="1" customWidth="1"/>
    <col min="12062" max="12071" width="6.3984375" style="181" customWidth="1"/>
    <col min="12072" max="12072" width="7.19921875" style="181" bestFit="1" customWidth="1"/>
    <col min="12073" max="12073" width="4.59765625" style="181" bestFit="1" customWidth="1"/>
    <col min="12074" max="12074" width="6.69921875" style="181" customWidth="1"/>
    <col min="12075" max="12075" width="5.8984375" style="181" bestFit="1" customWidth="1"/>
    <col min="12076" max="12076" width="5.69921875" style="181" bestFit="1" customWidth="1"/>
    <col min="12077" max="12077" width="4.8984375" style="181" bestFit="1" customWidth="1"/>
    <col min="12078" max="12078" width="5.69921875" style="181" bestFit="1" customWidth="1"/>
    <col min="12079" max="12079" width="4.8984375" style="181" bestFit="1" customWidth="1"/>
    <col min="12080" max="12080" width="5.69921875" style="181" bestFit="1" customWidth="1"/>
    <col min="12081" max="12081" width="5.3984375" style="181" bestFit="1" customWidth="1"/>
    <col min="12082" max="12082" width="6.3984375" style="181" bestFit="1" customWidth="1"/>
    <col min="12083" max="12083" width="8.8984375" style="181" customWidth="1"/>
    <col min="12084" max="12094" width="5.8984375" style="181" bestFit="1" customWidth="1"/>
    <col min="12095" max="12292" width="8.796875" style="181"/>
    <col min="12293" max="12293" width="8.3984375" style="181" customWidth="1"/>
    <col min="12294" max="12294" width="7" style="181" customWidth="1"/>
    <col min="12295" max="12295" width="5.3984375" style="181" bestFit="1" customWidth="1"/>
    <col min="12296" max="12296" width="6.8984375" style="181" bestFit="1" customWidth="1"/>
    <col min="12297" max="12297" width="7.8984375" style="181" bestFit="1" customWidth="1"/>
    <col min="12298" max="12299" width="6.8984375" style="181" customWidth="1"/>
    <col min="12300" max="12300" width="8.59765625" style="181" customWidth="1"/>
    <col min="12301" max="12301" width="9.09765625" style="181" customWidth="1"/>
    <col min="12302" max="12302" width="5.8984375" style="181" bestFit="1" customWidth="1"/>
    <col min="12303" max="12303" width="6.3984375" style="181" bestFit="1" customWidth="1"/>
    <col min="12304" max="12304" width="5.69921875" style="181" bestFit="1" customWidth="1"/>
    <col min="12305" max="12305" width="4.8984375" style="181" bestFit="1" customWidth="1"/>
    <col min="12306" max="12306" width="5.69921875" style="181" bestFit="1" customWidth="1"/>
    <col min="12307" max="12307" width="4.8984375" style="181" bestFit="1" customWidth="1"/>
    <col min="12308" max="12308" width="4.3984375" style="181" bestFit="1" customWidth="1"/>
    <col min="12309" max="12309" width="5.3984375" style="181" bestFit="1" customWidth="1"/>
    <col min="12310" max="12310" width="5.5" style="181" customWidth="1"/>
    <col min="12311" max="12311" width="5.3984375" style="181" bestFit="1" customWidth="1"/>
    <col min="12312" max="12312" width="6" style="181" customWidth="1"/>
    <col min="12313" max="12313" width="5.09765625" style="181" customWidth="1"/>
    <col min="12314" max="12314" width="5.8984375" style="181" customWidth="1"/>
    <col min="12315" max="12315" width="7.3984375" style="181" bestFit="1" customWidth="1"/>
    <col min="12316" max="12317" width="6.3984375" style="181" bestFit="1" customWidth="1"/>
    <col min="12318" max="12327" width="6.3984375" style="181" customWidth="1"/>
    <col min="12328" max="12328" width="7.19921875" style="181" bestFit="1" customWidth="1"/>
    <col min="12329" max="12329" width="4.59765625" style="181" bestFit="1" customWidth="1"/>
    <col min="12330" max="12330" width="6.69921875" style="181" customWidth="1"/>
    <col min="12331" max="12331" width="5.8984375" style="181" bestFit="1" customWidth="1"/>
    <col min="12332" max="12332" width="5.69921875" style="181" bestFit="1" customWidth="1"/>
    <col min="12333" max="12333" width="4.8984375" style="181" bestFit="1" customWidth="1"/>
    <col min="12334" max="12334" width="5.69921875" style="181" bestFit="1" customWidth="1"/>
    <col min="12335" max="12335" width="4.8984375" style="181" bestFit="1" customWidth="1"/>
    <col min="12336" max="12336" width="5.69921875" style="181" bestFit="1" customWidth="1"/>
    <col min="12337" max="12337" width="5.3984375" style="181" bestFit="1" customWidth="1"/>
    <col min="12338" max="12338" width="6.3984375" style="181" bestFit="1" customWidth="1"/>
    <col min="12339" max="12339" width="8.8984375" style="181" customWidth="1"/>
    <col min="12340" max="12350" width="5.8984375" style="181" bestFit="1" customWidth="1"/>
    <col min="12351" max="12548" width="8.796875" style="181"/>
    <col min="12549" max="12549" width="8.3984375" style="181" customWidth="1"/>
    <col min="12550" max="12550" width="7" style="181" customWidth="1"/>
    <col min="12551" max="12551" width="5.3984375" style="181" bestFit="1" customWidth="1"/>
    <col min="12552" max="12552" width="6.8984375" style="181" bestFit="1" customWidth="1"/>
    <col min="12553" max="12553" width="7.8984375" style="181" bestFit="1" customWidth="1"/>
    <col min="12554" max="12555" width="6.8984375" style="181" customWidth="1"/>
    <col min="12556" max="12556" width="8.59765625" style="181" customWidth="1"/>
    <col min="12557" max="12557" width="9.09765625" style="181" customWidth="1"/>
    <col min="12558" max="12558" width="5.8984375" style="181" bestFit="1" customWidth="1"/>
    <col min="12559" max="12559" width="6.3984375" style="181" bestFit="1" customWidth="1"/>
    <col min="12560" max="12560" width="5.69921875" style="181" bestFit="1" customWidth="1"/>
    <col min="12561" max="12561" width="4.8984375" style="181" bestFit="1" customWidth="1"/>
    <col min="12562" max="12562" width="5.69921875" style="181" bestFit="1" customWidth="1"/>
    <col min="12563" max="12563" width="4.8984375" style="181" bestFit="1" customWidth="1"/>
    <col min="12564" max="12564" width="4.3984375" style="181" bestFit="1" customWidth="1"/>
    <col min="12565" max="12565" width="5.3984375" style="181" bestFit="1" customWidth="1"/>
    <col min="12566" max="12566" width="5.5" style="181" customWidth="1"/>
    <col min="12567" max="12567" width="5.3984375" style="181" bestFit="1" customWidth="1"/>
    <col min="12568" max="12568" width="6" style="181" customWidth="1"/>
    <col min="12569" max="12569" width="5.09765625" style="181" customWidth="1"/>
    <col min="12570" max="12570" width="5.8984375" style="181" customWidth="1"/>
    <col min="12571" max="12571" width="7.3984375" style="181" bestFit="1" customWidth="1"/>
    <col min="12572" max="12573" width="6.3984375" style="181" bestFit="1" customWidth="1"/>
    <col min="12574" max="12583" width="6.3984375" style="181" customWidth="1"/>
    <col min="12584" max="12584" width="7.19921875" style="181" bestFit="1" customWidth="1"/>
    <col min="12585" max="12585" width="4.59765625" style="181" bestFit="1" customWidth="1"/>
    <col min="12586" max="12586" width="6.69921875" style="181" customWidth="1"/>
    <col min="12587" max="12587" width="5.8984375" style="181" bestFit="1" customWidth="1"/>
    <col min="12588" max="12588" width="5.69921875" style="181" bestFit="1" customWidth="1"/>
    <col min="12589" max="12589" width="4.8984375" style="181" bestFit="1" customWidth="1"/>
    <col min="12590" max="12590" width="5.69921875" style="181" bestFit="1" customWidth="1"/>
    <col min="12591" max="12591" width="4.8984375" style="181" bestFit="1" customWidth="1"/>
    <col min="12592" max="12592" width="5.69921875" style="181" bestFit="1" customWidth="1"/>
    <col min="12593" max="12593" width="5.3984375" style="181" bestFit="1" customWidth="1"/>
    <col min="12594" max="12594" width="6.3984375" style="181" bestFit="1" customWidth="1"/>
    <col min="12595" max="12595" width="8.8984375" style="181" customWidth="1"/>
    <col min="12596" max="12606" width="5.8984375" style="181" bestFit="1" customWidth="1"/>
    <col min="12607" max="12804" width="8.796875" style="181"/>
    <col min="12805" max="12805" width="8.3984375" style="181" customWidth="1"/>
    <col min="12806" max="12806" width="7" style="181" customWidth="1"/>
    <col min="12807" max="12807" width="5.3984375" style="181" bestFit="1" customWidth="1"/>
    <col min="12808" max="12808" width="6.8984375" style="181" bestFit="1" customWidth="1"/>
    <col min="12809" max="12809" width="7.8984375" style="181" bestFit="1" customWidth="1"/>
    <col min="12810" max="12811" width="6.8984375" style="181" customWidth="1"/>
    <col min="12812" max="12812" width="8.59765625" style="181" customWidth="1"/>
    <col min="12813" max="12813" width="9.09765625" style="181" customWidth="1"/>
    <col min="12814" max="12814" width="5.8984375" style="181" bestFit="1" customWidth="1"/>
    <col min="12815" max="12815" width="6.3984375" style="181" bestFit="1" customWidth="1"/>
    <col min="12816" max="12816" width="5.69921875" style="181" bestFit="1" customWidth="1"/>
    <col min="12817" max="12817" width="4.8984375" style="181" bestFit="1" customWidth="1"/>
    <col min="12818" max="12818" width="5.69921875" style="181" bestFit="1" customWidth="1"/>
    <col min="12819" max="12819" width="4.8984375" style="181" bestFit="1" customWidth="1"/>
    <col min="12820" max="12820" width="4.3984375" style="181" bestFit="1" customWidth="1"/>
    <col min="12821" max="12821" width="5.3984375" style="181" bestFit="1" customWidth="1"/>
    <col min="12822" max="12822" width="5.5" style="181" customWidth="1"/>
    <col min="12823" max="12823" width="5.3984375" style="181" bestFit="1" customWidth="1"/>
    <col min="12824" max="12824" width="6" style="181" customWidth="1"/>
    <col min="12825" max="12825" width="5.09765625" style="181" customWidth="1"/>
    <col min="12826" max="12826" width="5.8984375" style="181" customWidth="1"/>
    <col min="12827" max="12827" width="7.3984375" style="181" bestFit="1" customWidth="1"/>
    <col min="12828" max="12829" width="6.3984375" style="181" bestFit="1" customWidth="1"/>
    <col min="12830" max="12839" width="6.3984375" style="181" customWidth="1"/>
    <col min="12840" max="12840" width="7.19921875" style="181" bestFit="1" customWidth="1"/>
    <col min="12841" max="12841" width="4.59765625" style="181" bestFit="1" customWidth="1"/>
    <col min="12842" max="12842" width="6.69921875" style="181" customWidth="1"/>
    <col min="12843" max="12843" width="5.8984375" style="181" bestFit="1" customWidth="1"/>
    <col min="12844" max="12844" width="5.69921875" style="181" bestFit="1" customWidth="1"/>
    <col min="12845" max="12845" width="4.8984375" style="181" bestFit="1" customWidth="1"/>
    <col min="12846" max="12846" width="5.69921875" style="181" bestFit="1" customWidth="1"/>
    <col min="12847" max="12847" width="4.8984375" style="181" bestFit="1" customWidth="1"/>
    <col min="12848" max="12848" width="5.69921875" style="181" bestFit="1" customWidth="1"/>
    <col min="12849" max="12849" width="5.3984375" style="181" bestFit="1" customWidth="1"/>
    <col min="12850" max="12850" width="6.3984375" style="181" bestFit="1" customWidth="1"/>
    <col min="12851" max="12851" width="8.8984375" style="181" customWidth="1"/>
    <col min="12852" max="12862" width="5.8984375" style="181" bestFit="1" customWidth="1"/>
    <col min="12863" max="13060" width="8.796875" style="181"/>
    <col min="13061" max="13061" width="8.3984375" style="181" customWidth="1"/>
    <col min="13062" max="13062" width="7" style="181" customWidth="1"/>
    <col min="13063" max="13063" width="5.3984375" style="181" bestFit="1" customWidth="1"/>
    <col min="13064" max="13064" width="6.8984375" style="181" bestFit="1" customWidth="1"/>
    <col min="13065" max="13065" width="7.8984375" style="181" bestFit="1" customWidth="1"/>
    <col min="13066" max="13067" width="6.8984375" style="181" customWidth="1"/>
    <col min="13068" max="13068" width="8.59765625" style="181" customWidth="1"/>
    <col min="13069" max="13069" width="9.09765625" style="181" customWidth="1"/>
    <col min="13070" max="13070" width="5.8984375" style="181" bestFit="1" customWidth="1"/>
    <col min="13071" max="13071" width="6.3984375" style="181" bestFit="1" customWidth="1"/>
    <col min="13072" max="13072" width="5.69921875" style="181" bestFit="1" customWidth="1"/>
    <col min="13073" max="13073" width="4.8984375" style="181" bestFit="1" customWidth="1"/>
    <col min="13074" max="13074" width="5.69921875" style="181" bestFit="1" customWidth="1"/>
    <col min="13075" max="13075" width="4.8984375" style="181" bestFit="1" customWidth="1"/>
    <col min="13076" max="13076" width="4.3984375" style="181" bestFit="1" customWidth="1"/>
    <col min="13077" max="13077" width="5.3984375" style="181" bestFit="1" customWidth="1"/>
    <col min="13078" max="13078" width="5.5" style="181" customWidth="1"/>
    <col min="13079" max="13079" width="5.3984375" style="181" bestFit="1" customWidth="1"/>
    <col min="13080" max="13080" width="6" style="181" customWidth="1"/>
    <col min="13081" max="13081" width="5.09765625" style="181" customWidth="1"/>
    <col min="13082" max="13082" width="5.8984375" style="181" customWidth="1"/>
    <col min="13083" max="13083" width="7.3984375" style="181" bestFit="1" customWidth="1"/>
    <col min="13084" max="13085" width="6.3984375" style="181" bestFit="1" customWidth="1"/>
    <col min="13086" max="13095" width="6.3984375" style="181" customWidth="1"/>
    <col min="13096" max="13096" width="7.19921875" style="181" bestFit="1" customWidth="1"/>
    <col min="13097" max="13097" width="4.59765625" style="181" bestFit="1" customWidth="1"/>
    <col min="13098" max="13098" width="6.69921875" style="181" customWidth="1"/>
    <col min="13099" max="13099" width="5.8984375" style="181" bestFit="1" customWidth="1"/>
    <col min="13100" max="13100" width="5.69921875" style="181" bestFit="1" customWidth="1"/>
    <col min="13101" max="13101" width="4.8984375" style="181" bestFit="1" customWidth="1"/>
    <col min="13102" max="13102" width="5.69921875" style="181" bestFit="1" customWidth="1"/>
    <col min="13103" max="13103" width="4.8984375" style="181" bestFit="1" customWidth="1"/>
    <col min="13104" max="13104" width="5.69921875" style="181" bestFit="1" customWidth="1"/>
    <col min="13105" max="13105" width="5.3984375" style="181" bestFit="1" customWidth="1"/>
    <col min="13106" max="13106" width="6.3984375" style="181" bestFit="1" customWidth="1"/>
    <col min="13107" max="13107" width="8.8984375" style="181" customWidth="1"/>
    <col min="13108" max="13118" width="5.8984375" style="181" bestFit="1" customWidth="1"/>
    <col min="13119" max="13316" width="8.796875" style="181"/>
    <col min="13317" max="13317" width="8.3984375" style="181" customWidth="1"/>
    <col min="13318" max="13318" width="7" style="181" customWidth="1"/>
    <col min="13319" max="13319" width="5.3984375" style="181" bestFit="1" customWidth="1"/>
    <col min="13320" max="13320" width="6.8984375" style="181" bestFit="1" customWidth="1"/>
    <col min="13321" max="13321" width="7.8984375" style="181" bestFit="1" customWidth="1"/>
    <col min="13322" max="13323" width="6.8984375" style="181" customWidth="1"/>
    <col min="13324" max="13324" width="8.59765625" style="181" customWidth="1"/>
    <col min="13325" max="13325" width="9.09765625" style="181" customWidth="1"/>
    <col min="13326" max="13326" width="5.8984375" style="181" bestFit="1" customWidth="1"/>
    <col min="13327" max="13327" width="6.3984375" style="181" bestFit="1" customWidth="1"/>
    <col min="13328" max="13328" width="5.69921875" style="181" bestFit="1" customWidth="1"/>
    <col min="13329" max="13329" width="4.8984375" style="181" bestFit="1" customWidth="1"/>
    <col min="13330" max="13330" width="5.69921875" style="181" bestFit="1" customWidth="1"/>
    <col min="13331" max="13331" width="4.8984375" style="181" bestFit="1" customWidth="1"/>
    <col min="13332" max="13332" width="4.3984375" style="181" bestFit="1" customWidth="1"/>
    <col min="13333" max="13333" width="5.3984375" style="181" bestFit="1" customWidth="1"/>
    <col min="13334" max="13334" width="5.5" style="181" customWidth="1"/>
    <col min="13335" max="13335" width="5.3984375" style="181" bestFit="1" customWidth="1"/>
    <col min="13336" max="13336" width="6" style="181" customWidth="1"/>
    <col min="13337" max="13337" width="5.09765625" style="181" customWidth="1"/>
    <col min="13338" max="13338" width="5.8984375" style="181" customWidth="1"/>
    <col min="13339" max="13339" width="7.3984375" style="181" bestFit="1" customWidth="1"/>
    <col min="13340" max="13341" width="6.3984375" style="181" bestFit="1" customWidth="1"/>
    <col min="13342" max="13351" width="6.3984375" style="181" customWidth="1"/>
    <col min="13352" max="13352" width="7.19921875" style="181" bestFit="1" customWidth="1"/>
    <col min="13353" max="13353" width="4.59765625" style="181" bestFit="1" customWidth="1"/>
    <col min="13354" max="13354" width="6.69921875" style="181" customWidth="1"/>
    <col min="13355" max="13355" width="5.8984375" style="181" bestFit="1" customWidth="1"/>
    <col min="13356" max="13356" width="5.69921875" style="181" bestFit="1" customWidth="1"/>
    <col min="13357" max="13357" width="4.8984375" style="181" bestFit="1" customWidth="1"/>
    <col min="13358" max="13358" width="5.69921875" style="181" bestFit="1" customWidth="1"/>
    <col min="13359" max="13359" width="4.8984375" style="181" bestFit="1" customWidth="1"/>
    <col min="13360" max="13360" width="5.69921875" style="181" bestFit="1" customWidth="1"/>
    <col min="13361" max="13361" width="5.3984375" style="181" bestFit="1" customWidth="1"/>
    <col min="13362" max="13362" width="6.3984375" style="181" bestFit="1" customWidth="1"/>
    <col min="13363" max="13363" width="8.8984375" style="181" customWidth="1"/>
    <col min="13364" max="13374" width="5.8984375" style="181" bestFit="1" customWidth="1"/>
    <col min="13375" max="13572" width="8.796875" style="181"/>
    <col min="13573" max="13573" width="8.3984375" style="181" customWidth="1"/>
    <col min="13574" max="13574" width="7" style="181" customWidth="1"/>
    <col min="13575" max="13575" width="5.3984375" style="181" bestFit="1" customWidth="1"/>
    <col min="13576" max="13576" width="6.8984375" style="181" bestFit="1" customWidth="1"/>
    <col min="13577" max="13577" width="7.8984375" style="181" bestFit="1" customWidth="1"/>
    <col min="13578" max="13579" width="6.8984375" style="181" customWidth="1"/>
    <col min="13580" max="13580" width="8.59765625" style="181" customWidth="1"/>
    <col min="13581" max="13581" width="9.09765625" style="181" customWidth="1"/>
    <col min="13582" max="13582" width="5.8984375" style="181" bestFit="1" customWidth="1"/>
    <col min="13583" max="13583" width="6.3984375" style="181" bestFit="1" customWidth="1"/>
    <col min="13584" max="13584" width="5.69921875" style="181" bestFit="1" customWidth="1"/>
    <col min="13585" max="13585" width="4.8984375" style="181" bestFit="1" customWidth="1"/>
    <col min="13586" max="13586" width="5.69921875" style="181" bestFit="1" customWidth="1"/>
    <col min="13587" max="13587" width="4.8984375" style="181" bestFit="1" customWidth="1"/>
    <col min="13588" max="13588" width="4.3984375" style="181" bestFit="1" customWidth="1"/>
    <col min="13589" max="13589" width="5.3984375" style="181" bestFit="1" customWidth="1"/>
    <col min="13590" max="13590" width="5.5" style="181" customWidth="1"/>
    <col min="13591" max="13591" width="5.3984375" style="181" bestFit="1" customWidth="1"/>
    <col min="13592" max="13592" width="6" style="181" customWidth="1"/>
    <col min="13593" max="13593" width="5.09765625" style="181" customWidth="1"/>
    <col min="13594" max="13594" width="5.8984375" style="181" customWidth="1"/>
    <col min="13595" max="13595" width="7.3984375" style="181" bestFit="1" customWidth="1"/>
    <col min="13596" max="13597" width="6.3984375" style="181" bestFit="1" customWidth="1"/>
    <col min="13598" max="13607" width="6.3984375" style="181" customWidth="1"/>
    <col min="13608" max="13608" width="7.19921875" style="181" bestFit="1" customWidth="1"/>
    <col min="13609" max="13609" width="4.59765625" style="181" bestFit="1" customWidth="1"/>
    <col min="13610" max="13610" width="6.69921875" style="181" customWidth="1"/>
    <col min="13611" max="13611" width="5.8984375" style="181" bestFit="1" customWidth="1"/>
    <col min="13612" max="13612" width="5.69921875" style="181" bestFit="1" customWidth="1"/>
    <col min="13613" max="13613" width="4.8984375" style="181" bestFit="1" customWidth="1"/>
    <col min="13614" max="13614" width="5.69921875" style="181" bestFit="1" customWidth="1"/>
    <col min="13615" max="13615" width="4.8984375" style="181" bestFit="1" customWidth="1"/>
    <col min="13616" max="13616" width="5.69921875" style="181" bestFit="1" customWidth="1"/>
    <col min="13617" max="13617" width="5.3984375" style="181" bestFit="1" customWidth="1"/>
    <col min="13618" max="13618" width="6.3984375" style="181" bestFit="1" customWidth="1"/>
    <col min="13619" max="13619" width="8.8984375" style="181" customWidth="1"/>
    <col min="13620" max="13630" width="5.8984375" style="181" bestFit="1" customWidth="1"/>
    <col min="13631" max="13828" width="8.796875" style="181"/>
    <col min="13829" max="13829" width="8.3984375" style="181" customWidth="1"/>
    <col min="13830" max="13830" width="7" style="181" customWidth="1"/>
    <col min="13831" max="13831" width="5.3984375" style="181" bestFit="1" customWidth="1"/>
    <col min="13832" max="13832" width="6.8984375" style="181" bestFit="1" customWidth="1"/>
    <col min="13833" max="13833" width="7.8984375" style="181" bestFit="1" customWidth="1"/>
    <col min="13834" max="13835" width="6.8984375" style="181" customWidth="1"/>
    <col min="13836" max="13836" width="8.59765625" style="181" customWidth="1"/>
    <col min="13837" max="13837" width="9.09765625" style="181" customWidth="1"/>
    <col min="13838" max="13838" width="5.8984375" style="181" bestFit="1" customWidth="1"/>
    <col min="13839" max="13839" width="6.3984375" style="181" bestFit="1" customWidth="1"/>
    <col min="13840" max="13840" width="5.69921875" style="181" bestFit="1" customWidth="1"/>
    <col min="13841" max="13841" width="4.8984375" style="181" bestFit="1" customWidth="1"/>
    <col min="13842" max="13842" width="5.69921875" style="181" bestFit="1" customWidth="1"/>
    <col min="13843" max="13843" width="4.8984375" style="181" bestFit="1" customWidth="1"/>
    <col min="13844" max="13844" width="4.3984375" style="181" bestFit="1" customWidth="1"/>
    <col min="13845" max="13845" width="5.3984375" style="181" bestFit="1" customWidth="1"/>
    <col min="13846" max="13846" width="5.5" style="181" customWidth="1"/>
    <col min="13847" max="13847" width="5.3984375" style="181" bestFit="1" customWidth="1"/>
    <col min="13848" max="13848" width="6" style="181" customWidth="1"/>
    <col min="13849" max="13849" width="5.09765625" style="181" customWidth="1"/>
    <col min="13850" max="13850" width="5.8984375" style="181" customWidth="1"/>
    <col min="13851" max="13851" width="7.3984375" style="181" bestFit="1" customWidth="1"/>
    <col min="13852" max="13853" width="6.3984375" style="181" bestFit="1" customWidth="1"/>
    <col min="13854" max="13863" width="6.3984375" style="181" customWidth="1"/>
    <col min="13864" max="13864" width="7.19921875" style="181" bestFit="1" customWidth="1"/>
    <col min="13865" max="13865" width="4.59765625" style="181" bestFit="1" customWidth="1"/>
    <col min="13866" max="13866" width="6.69921875" style="181" customWidth="1"/>
    <col min="13867" max="13867" width="5.8984375" style="181" bestFit="1" customWidth="1"/>
    <col min="13868" max="13868" width="5.69921875" style="181" bestFit="1" customWidth="1"/>
    <col min="13869" max="13869" width="4.8984375" style="181" bestFit="1" customWidth="1"/>
    <col min="13870" max="13870" width="5.69921875" style="181" bestFit="1" customWidth="1"/>
    <col min="13871" max="13871" width="4.8984375" style="181" bestFit="1" customWidth="1"/>
    <col min="13872" max="13872" width="5.69921875" style="181" bestFit="1" customWidth="1"/>
    <col min="13873" max="13873" width="5.3984375" style="181" bestFit="1" customWidth="1"/>
    <col min="13874" max="13874" width="6.3984375" style="181" bestFit="1" customWidth="1"/>
    <col min="13875" max="13875" width="8.8984375" style="181" customWidth="1"/>
    <col min="13876" max="13886" width="5.8984375" style="181" bestFit="1" customWidth="1"/>
    <col min="13887" max="14084" width="8.796875" style="181"/>
    <col min="14085" max="14085" width="8.3984375" style="181" customWidth="1"/>
    <col min="14086" max="14086" width="7" style="181" customWidth="1"/>
    <col min="14087" max="14087" width="5.3984375" style="181" bestFit="1" customWidth="1"/>
    <col min="14088" max="14088" width="6.8984375" style="181" bestFit="1" customWidth="1"/>
    <col min="14089" max="14089" width="7.8984375" style="181" bestFit="1" customWidth="1"/>
    <col min="14090" max="14091" width="6.8984375" style="181" customWidth="1"/>
    <col min="14092" max="14092" width="8.59765625" style="181" customWidth="1"/>
    <col min="14093" max="14093" width="9.09765625" style="181" customWidth="1"/>
    <col min="14094" max="14094" width="5.8984375" style="181" bestFit="1" customWidth="1"/>
    <col min="14095" max="14095" width="6.3984375" style="181" bestFit="1" customWidth="1"/>
    <col min="14096" max="14096" width="5.69921875" style="181" bestFit="1" customWidth="1"/>
    <col min="14097" max="14097" width="4.8984375" style="181" bestFit="1" customWidth="1"/>
    <col min="14098" max="14098" width="5.69921875" style="181" bestFit="1" customWidth="1"/>
    <col min="14099" max="14099" width="4.8984375" style="181" bestFit="1" customWidth="1"/>
    <col min="14100" max="14100" width="4.3984375" style="181" bestFit="1" customWidth="1"/>
    <col min="14101" max="14101" width="5.3984375" style="181" bestFit="1" customWidth="1"/>
    <col min="14102" max="14102" width="5.5" style="181" customWidth="1"/>
    <col min="14103" max="14103" width="5.3984375" style="181" bestFit="1" customWidth="1"/>
    <col min="14104" max="14104" width="6" style="181" customWidth="1"/>
    <col min="14105" max="14105" width="5.09765625" style="181" customWidth="1"/>
    <col min="14106" max="14106" width="5.8984375" style="181" customWidth="1"/>
    <col min="14107" max="14107" width="7.3984375" style="181" bestFit="1" customWidth="1"/>
    <col min="14108" max="14109" width="6.3984375" style="181" bestFit="1" customWidth="1"/>
    <col min="14110" max="14119" width="6.3984375" style="181" customWidth="1"/>
    <col min="14120" max="14120" width="7.19921875" style="181" bestFit="1" customWidth="1"/>
    <col min="14121" max="14121" width="4.59765625" style="181" bestFit="1" customWidth="1"/>
    <col min="14122" max="14122" width="6.69921875" style="181" customWidth="1"/>
    <col min="14123" max="14123" width="5.8984375" style="181" bestFit="1" customWidth="1"/>
    <col min="14124" max="14124" width="5.69921875" style="181" bestFit="1" customWidth="1"/>
    <col min="14125" max="14125" width="4.8984375" style="181" bestFit="1" customWidth="1"/>
    <col min="14126" max="14126" width="5.69921875" style="181" bestFit="1" customWidth="1"/>
    <col min="14127" max="14127" width="4.8984375" style="181" bestFit="1" customWidth="1"/>
    <col min="14128" max="14128" width="5.69921875" style="181" bestFit="1" customWidth="1"/>
    <col min="14129" max="14129" width="5.3984375" style="181" bestFit="1" customWidth="1"/>
    <col min="14130" max="14130" width="6.3984375" style="181" bestFit="1" customWidth="1"/>
    <col min="14131" max="14131" width="8.8984375" style="181" customWidth="1"/>
    <col min="14132" max="14142" width="5.8984375" style="181" bestFit="1" customWidth="1"/>
    <col min="14143" max="14340" width="8.796875" style="181"/>
    <col min="14341" max="14341" width="8.3984375" style="181" customWidth="1"/>
    <col min="14342" max="14342" width="7" style="181" customWidth="1"/>
    <col min="14343" max="14343" width="5.3984375" style="181" bestFit="1" customWidth="1"/>
    <col min="14344" max="14344" width="6.8984375" style="181" bestFit="1" customWidth="1"/>
    <col min="14345" max="14345" width="7.8984375" style="181" bestFit="1" customWidth="1"/>
    <col min="14346" max="14347" width="6.8984375" style="181" customWidth="1"/>
    <col min="14348" max="14348" width="8.59765625" style="181" customWidth="1"/>
    <col min="14349" max="14349" width="9.09765625" style="181" customWidth="1"/>
    <col min="14350" max="14350" width="5.8984375" style="181" bestFit="1" customWidth="1"/>
    <col min="14351" max="14351" width="6.3984375" style="181" bestFit="1" customWidth="1"/>
    <col min="14352" max="14352" width="5.69921875" style="181" bestFit="1" customWidth="1"/>
    <col min="14353" max="14353" width="4.8984375" style="181" bestFit="1" customWidth="1"/>
    <col min="14354" max="14354" width="5.69921875" style="181" bestFit="1" customWidth="1"/>
    <col min="14355" max="14355" width="4.8984375" style="181" bestFit="1" customWidth="1"/>
    <col min="14356" max="14356" width="4.3984375" style="181" bestFit="1" customWidth="1"/>
    <col min="14357" max="14357" width="5.3984375" style="181" bestFit="1" customWidth="1"/>
    <col min="14358" max="14358" width="5.5" style="181" customWidth="1"/>
    <col min="14359" max="14359" width="5.3984375" style="181" bestFit="1" customWidth="1"/>
    <col min="14360" max="14360" width="6" style="181" customWidth="1"/>
    <col min="14361" max="14361" width="5.09765625" style="181" customWidth="1"/>
    <col min="14362" max="14362" width="5.8984375" style="181" customWidth="1"/>
    <col min="14363" max="14363" width="7.3984375" style="181" bestFit="1" customWidth="1"/>
    <col min="14364" max="14365" width="6.3984375" style="181" bestFit="1" customWidth="1"/>
    <col min="14366" max="14375" width="6.3984375" style="181" customWidth="1"/>
    <col min="14376" max="14376" width="7.19921875" style="181" bestFit="1" customWidth="1"/>
    <col min="14377" max="14377" width="4.59765625" style="181" bestFit="1" customWidth="1"/>
    <col min="14378" max="14378" width="6.69921875" style="181" customWidth="1"/>
    <col min="14379" max="14379" width="5.8984375" style="181" bestFit="1" customWidth="1"/>
    <col min="14380" max="14380" width="5.69921875" style="181" bestFit="1" customWidth="1"/>
    <col min="14381" max="14381" width="4.8984375" style="181" bestFit="1" customWidth="1"/>
    <col min="14382" max="14382" width="5.69921875" style="181" bestFit="1" customWidth="1"/>
    <col min="14383" max="14383" width="4.8984375" style="181" bestFit="1" customWidth="1"/>
    <col min="14384" max="14384" width="5.69921875" style="181" bestFit="1" customWidth="1"/>
    <col min="14385" max="14385" width="5.3984375" style="181" bestFit="1" customWidth="1"/>
    <col min="14386" max="14386" width="6.3984375" style="181" bestFit="1" customWidth="1"/>
    <col min="14387" max="14387" width="8.8984375" style="181" customWidth="1"/>
    <col min="14388" max="14398" width="5.8984375" style="181" bestFit="1" customWidth="1"/>
    <col min="14399" max="14596" width="8.796875" style="181"/>
    <col min="14597" max="14597" width="8.3984375" style="181" customWidth="1"/>
    <col min="14598" max="14598" width="7" style="181" customWidth="1"/>
    <col min="14599" max="14599" width="5.3984375" style="181" bestFit="1" customWidth="1"/>
    <col min="14600" max="14600" width="6.8984375" style="181" bestFit="1" customWidth="1"/>
    <col min="14601" max="14601" width="7.8984375" style="181" bestFit="1" customWidth="1"/>
    <col min="14602" max="14603" width="6.8984375" style="181" customWidth="1"/>
    <col min="14604" max="14604" width="8.59765625" style="181" customWidth="1"/>
    <col min="14605" max="14605" width="9.09765625" style="181" customWidth="1"/>
    <col min="14606" max="14606" width="5.8984375" style="181" bestFit="1" customWidth="1"/>
    <col min="14607" max="14607" width="6.3984375" style="181" bestFit="1" customWidth="1"/>
    <col min="14608" max="14608" width="5.69921875" style="181" bestFit="1" customWidth="1"/>
    <col min="14609" max="14609" width="4.8984375" style="181" bestFit="1" customWidth="1"/>
    <col min="14610" max="14610" width="5.69921875" style="181" bestFit="1" customWidth="1"/>
    <col min="14611" max="14611" width="4.8984375" style="181" bestFit="1" customWidth="1"/>
    <col min="14612" max="14612" width="4.3984375" style="181" bestFit="1" customWidth="1"/>
    <col min="14613" max="14613" width="5.3984375" style="181" bestFit="1" customWidth="1"/>
    <col min="14614" max="14614" width="5.5" style="181" customWidth="1"/>
    <col min="14615" max="14615" width="5.3984375" style="181" bestFit="1" customWidth="1"/>
    <col min="14616" max="14616" width="6" style="181" customWidth="1"/>
    <col min="14617" max="14617" width="5.09765625" style="181" customWidth="1"/>
    <col min="14618" max="14618" width="5.8984375" style="181" customWidth="1"/>
    <col min="14619" max="14619" width="7.3984375" style="181" bestFit="1" customWidth="1"/>
    <col min="14620" max="14621" width="6.3984375" style="181" bestFit="1" customWidth="1"/>
    <col min="14622" max="14631" width="6.3984375" style="181" customWidth="1"/>
    <col min="14632" max="14632" width="7.19921875" style="181" bestFit="1" customWidth="1"/>
    <col min="14633" max="14633" width="4.59765625" style="181" bestFit="1" customWidth="1"/>
    <col min="14634" max="14634" width="6.69921875" style="181" customWidth="1"/>
    <col min="14635" max="14635" width="5.8984375" style="181" bestFit="1" customWidth="1"/>
    <col min="14636" max="14636" width="5.69921875" style="181" bestFit="1" customWidth="1"/>
    <col min="14637" max="14637" width="4.8984375" style="181" bestFit="1" customWidth="1"/>
    <col min="14638" max="14638" width="5.69921875" style="181" bestFit="1" customWidth="1"/>
    <col min="14639" max="14639" width="4.8984375" style="181" bestFit="1" customWidth="1"/>
    <col min="14640" max="14640" width="5.69921875" style="181" bestFit="1" customWidth="1"/>
    <col min="14641" max="14641" width="5.3984375" style="181" bestFit="1" customWidth="1"/>
    <col min="14642" max="14642" width="6.3984375" style="181" bestFit="1" customWidth="1"/>
    <col min="14643" max="14643" width="8.8984375" style="181" customWidth="1"/>
    <col min="14644" max="14654" width="5.8984375" style="181" bestFit="1" customWidth="1"/>
    <col min="14655" max="14852" width="8.796875" style="181"/>
    <col min="14853" max="14853" width="8.3984375" style="181" customWidth="1"/>
    <col min="14854" max="14854" width="7" style="181" customWidth="1"/>
    <col min="14855" max="14855" width="5.3984375" style="181" bestFit="1" customWidth="1"/>
    <col min="14856" max="14856" width="6.8984375" style="181" bestFit="1" customWidth="1"/>
    <col min="14857" max="14857" width="7.8984375" style="181" bestFit="1" customWidth="1"/>
    <col min="14858" max="14859" width="6.8984375" style="181" customWidth="1"/>
    <col min="14860" max="14860" width="8.59765625" style="181" customWidth="1"/>
    <col min="14861" max="14861" width="9.09765625" style="181" customWidth="1"/>
    <col min="14862" max="14862" width="5.8984375" style="181" bestFit="1" customWidth="1"/>
    <col min="14863" max="14863" width="6.3984375" style="181" bestFit="1" customWidth="1"/>
    <col min="14864" max="14864" width="5.69921875" style="181" bestFit="1" customWidth="1"/>
    <col min="14865" max="14865" width="4.8984375" style="181" bestFit="1" customWidth="1"/>
    <col min="14866" max="14866" width="5.69921875" style="181" bestFit="1" customWidth="1"/>
    <col min="14867" max="14867" width="4.8984375" style="181" bestFit="1" customWidth="1"/>
    <col min="14868" max="14868" width="4.3984375" style="181" bestFit="1" customWidth="1"/>
    <col min="14869" max="14869" width="5.3984375" style="181" bestFit="1" customWidth="1"/>
    <col min="14870" max="14870" width="5.5" style="181" customWidth="1"/>
    <col min="14871" max="14871" width="5.3984375" style="181" bestFit="1" customWidth="1"/>
    <col min="14872" max="14872" width="6" style="181" customWidth="1"/>
    <col min="14873" max="14873" width="5.09765625" style="181" customWidth="1"/>
    <col min="14874" max="14874" width="5.8984375" style="181" customWidth="1"/>
    <col min="14875" max="14875" width="7.3984375" style="181" bestFit="1" customWidth="1"/>
    <col min="14876" max="14877" width="6.3984375" style="181" bestFit="1" customWidth="1"/>
    <col min="14878" max="14887" width="6.3984375" style="181" customWidth="1"/>
    <col min="14888" max="14888" width="7.19921875" style="181" bestFit="1" customWidth="1"/>
    <col min="14889" max="14889" width="4.59765625" style="181" bestFit="1" customWidth="1"/>
    <col min="14890" max="14890" width="6.69921875" style="181" customWidth="1"/>
    <col min="14891" max="14891" width="5.8984375" style="181" bestFit="1" customWidth="1"/>
    <col min="14892" max="14892" width="5.69921875" style="181" bestFit="1" customWidth="1"/>
    <col min="14893" max="14893" width="4.8984375" style="181" bestFit="1" customWidth="1"/>
    <col min="14894" max="14894" width="5.69921875" style="181" bestFit="1" customWidth="1"/>
    <col min="14895" max="14895" width="4.8984375" style="181" bestFit="1" customWidth="1"/>
    <col min="14896" max="14896" width="5.69921875" style="181" bestFit="1" customWidth="1"/>
    <col min="14897" max="14897" width="5.3984375" style="181" bestFit="1" customWidth="1"/>
    <col min="14898" max="14898" width="6.3984375" style="181" bestFit="1" customWidth="1"/>
    <col min="14899" max="14899" width="8.8984375" style="181" customWidth="1"/>
    <col min="14900" max="14910" width="5.8984375" style="181" bestFit="1" customWidth="1"/>
    <col min="14911" max="15108" width="8.796875" style="181"/>
    <col min="15109" max="15109" width="8.3984375" style="181" customWidth="1"/>
    <col min="15110" max="15110" width="7" style="181" customWidth="1"/>
    <col min="15111" max="15111" width="5.3984375" style="181" bestFit="1" customWidth="1"/>
    <col min="15112" max="15112" width="6.8984375" style="181" bestFit="1" customWidth="1"/>
    <col min="15113" max="15113" width="7.8984375" style="181" bestFit="1" customWidth="1"/>
    <col min="15114" max="15115" width="6.8984375" style="181" customWidth="1"/>
    <col min="15116" max="15116" width="8.59765625" style="181" customWidth="1"/>
    <col min="15117" max="15117" width="9.09765625" style="181" customWidth="1"/>
    <col min="15118" max="15118" width="5.8984375" style="181" bestFit="1" customWidth="1"/>
    <col min="15119" max="15119" width="6.3984375" style="181" bestFit="1" customWidth="1"/>
    <col min="15120" max="15120" width="5.69921875" style="181" bestFit="1" customWidth="1"/>
    <col min="15121" max="15121" width="4.8984375" style="181" bestFit="1" customWidth="1"/>
    <col min="15122" max="15122" width="5.69921875" style="181" bestFit="1" customWidth="1"/>
    <col min="15123" max="15123" width="4.8984375" style="181" bestFit="1" customWidth="1"/>
    <col min="15124" max="15124" width="4.3984375" style="181" bestFit="1" customWidth="1"/>
    <col min="15125" max="15125" width="5.3984375" style="181" bestFit="1" customWidth="1"/>
    <col min="15126" max="15126" width="5.5" style="181" customWidth="1"/>
    <col min="15127" max="15127" width="5.3984375" style="181" bestFit="1" customWidth="1"/>
    <col min="15128" max="15128" width="6" style="181" customWidth="1"/>
    <col min="15129" max="15129" width="5.09765625" style="181" customWidth="1"/>
    <col min="15130" max="15130" width="5.8984375" style="181" customWidth="1"/>
    <col min="15131" max="15131" width="7.3984375" style="181" bestFit="1" customWidth="1"/>
    <col min="15132" max="15133" width="6.3984375" style="181" bestFit="1" customWidth="1"/>
    <col min="15134" max="15143" width="6.3984375" style="181" customWidth="1"/>
    <col min="15144" max="15144" width="7.19921875" style="181" bestFit="1" customWidth="1"/>
    <col min="15145" max="15145" width="4.59765625" style="181" bestFit="1" customWidth="1"/>
    <col min="15146" max="15146" width="6.69921875" style="181" customWidth="1"/>
    <col min="15147" max="15147" width="5.8984375" style="181" bestFit="1" customWidth="1"/>
    <col min="15148" max="15148" width="5.69921875" style="181" bestFit="1" customWidth="1"/>
    <col min="15149" max="15149" width="4.8984375" style="181" bestFit="1" customWidth="1"/>
    <col min="15150" max="15150" width="5.69921875" style="181" bestFit="1" customWidth="1"/>
    <col min="15151" max="15151" width="4.8984375" style="181" bestFit="1" customWidth="1"/>
    <col min="15152" max="15152" width="5.69921875" style="181" bestFit="1" customWidth="1"/>
    <col min="15153" max="15153" width="5.3984375" style="181" bestFit="1" customWidth="1"/>
    <col min="15154" max="15154" width="6.3984375" style="181" bestFit="1" customWidth="1"/>
    <col min="15155" max="15155" width="8.8984375" style="181" customWidth="1"/>
    <col min="15156" max="15166" width="5.8984375" style="181" bestFit="1" customWidth="1"/>
    <col min="15167" max="15364" width="8.796875" style="181"/>
    <col min="15365" max="15365" width="8.3984375" style="181" customWidth="1"/>
    <col min="15366" max="15366" width="7" style="181" customWidth="1"/>
    <col min="15367" max="15367" width="5.3984375" style="181" bestFit="1" customWidth="1"/>
    <col min="15368" max="15368" width="6.8984375" style="181" bestFit="1" customWidth="1"/>
    <col min="15369" max="15369" width="7.8984375" style="181" bestFit="1" customWidth="1"/>
    <col min="15370" max="15371" width="6.8984375" style="181" customWidth="1"/>
    <col min="15372" max="15372" width="8.59765625" style="181" customWidth="1"/>
    <col min="15373" max="15373" width="9.09765625" style="181" customWidth="1"/>
    <col min="15374" max="15374" width="5.8984375" style="181" bestFit="1" customWidth="1"/>
    <col min="15375" max="15375" width="6.3984375" style="181" bestFit="1" customWidth="1"/>
    <col min="15376" max="15376" width="5.69921875" style="181" bestFit="1" customWidth="1"/>
    <col min="15377" max="15377" width="4.8984375" style="181" bestFit="1" customWidth="1"/>
    <col min="15378" max="15378" width="5.69921875" style="181" bestFit="1" customWidth="1"/>
    <col min="15379" max="15379" width="4.8984375" style="181" bestFit="1" customWidth="1"/>
    <col min="15380" max="15380" width="4.3984375" style="181" bestFit="1" customWidth="1"/>
    <col min="15381" max="15381" width="5.3984375" style="181" bestFit="1" customWidth="1"/>
    <col min="15382" max="15382" width="5.5" style="181" customWidth="1"/>
    <col min="15383" max="15383" width="5.3984375" style="181" bestFit="1" customWidth="1"/>
    <col min="15384" max="15384" width="6" style="181" customWidth="1"/>
    <col min="15385" max="15385" width="5.09765625" style="181" customWidth="1"/>
    <col min="15386" max="15386" width="5.8984375" style="181" customWidth="1"/>
    <col min="15387" max="15387" width="7.3984375" style="181" bestFit="1" customWidth="1"/>
    <col min="15388" max="15389" width="6.3984375" style="181" bestFit="1" customWidth="1"/>
    <col min="15390" max="15399" width="6.3984375" style="181" customWidth="1"/>
    <col min="15400" max="15400" width="7.19921875" style="181" bestFit="1" customWidth="1"/>
    <col min="15401" max="15401" width="4.59765625" style="181" bestFit="1" customWidth="1"/>
    <col min="15402" max="15402" width="6.69921875" style="181" customWidth="1"/>
    <col min="15403" max="15403" width="5.8984375" style="181" bestFit="1" customWidth="1"/>
    <col min="15404" max="15404" width="5.69921875" style="181" bestFit="1" customWidth="1"/>
    <col min="15405" max="15405" width="4.8984375" style="181" bestFit="1" customWidth="1"/>
    <col min="15406" max="15406" width="5.69921875" style="181" bestFit="1" customWidth="1"/>
    <col min="15407" max="15407" width="4.8984375" style="181" bestFit="1" customWidth="1"/>
    <col min="15408" max="15408" width="5.69921875" style="181" bestFit="1" customWidth="1"/>
    <col min="15409" max="15409" width="5.3984375" style="181" bestFit="1" customWidth="1"/>
    <col min="15410" max="15410" width="6.3984375" style="181" bestFit="1" customWidth="1"/>
    <col min="15411" max="15411" width="8.8984375" style="181" customWidth="1"/>
    <col min="15412" max="15422" width="5.8984375" style="181" bestFit="1" customWidth="1"/>
    <col min="15423" max="15620" width="8.796875" style="181"/>
    <col min="15621" max="15621" width="8.3984375" style="181" customWidth="1"/>
    <col min="15622" max="15622" width="7" style="181" customWidth="1"/>
    <col min="15623" max="15623" width="5.3984375" style="181" bestFit="1" customWidth="1"/>
    <col min="15624" max="15624" width="6.8984375" style="181" bestFit="1" customWidth="1"/>
    <col min="15625" max="15625" width="7.8984375" style="181" bestFit="1" customWidth="1"/>
    <col min="15626" max="15627" width="6.8984375" style="181" customWidth="1"/>
    <col min="15628" max="15628" width="8.59765625" style="181" customWidth="1"/>
    <col min="15629" max="15629" width="9.09765625" style="181" customWidth="1"/>
    <col min="15630" max="15630" width="5.8984375" style="181" bestFit="1" customWidth="1"/>
    <col min="15631" max="15631" width="6.3984375" style="181" bestFit="1" customWidth="1"/>
    <col min="15632" max="15632" width="5.69921875" style="181" bestFit="1" customWidth="1"/>
    <col min="15633" max="15633" width="4.8984375" style="181" bestFit="1" customWidth="1"/>
    <col min="15634" max="15634" width="5.69921875" style="181" bestFit="1" customWidth="1"/>
    <col min="15635" max="15635" width="4.8984375" style="181" bestFit="1" customWidth="1"/>
    <col min="15636" max="15636" width="4.3984375" style="181" bestFit="1" customWidth="1"/>
    <col min="15637" max="15637" width="5.3984375" style="181" bestFit="1" customWidth="1"/>
    <col min="15638" max="15638" width="5.5" style="181" customWidth="1"/>
    <col min="15639" max="15639" width="5.3984375" style="181" bestFit="1" customWidth="1"/>
    <col min="15640" max="15640" width="6" style="181" customWidth="1"/>
    <col min="15641" max="15641" width="5.09765625" style="181" customWidth="1"/>
    <col min="15642" max="15642" width="5.8984375" style="181" customWidth="1"/>
    <col min="15643" max="15643" width="7.3984375" style="181" bestFit="1" customWidth="1"/>
    <col min="15644" max="15645" width="6.3984375" style="181" bestFit="1" customWidth="1"/>
    <col min="15646" max="15655" width="6.3984375" style="181" customWidth="1"/>
    <col min="15656" max="15656" width="7.19921875" style="181" bestFit="1" customWidth="1"/>
    <col min="15657" max="15657" width="4.59765625" style="181" bestFit="1" customWidth="1"/>
    <col min="15658" max="15658" width="6.69921875" style="181" customWidth="1"/>
    <col min="15659" max="15659" width="5.8984375" style="181" bestFit="1" customWidth="1"/>
    <col min="15660" max="15660" width="5.69921875" style="181" bestFit="1" customWidth="1"/>
    <col min="15661" max="15661" width="4.8984375" style="181" bestFit="1" customWidth="1"/>
    <col min="15662" max="15662" width="5.69921875" style="181" bestFit="1" customWidth="1"/>
    <col min="15663" max="15663" width="4.8984375" style="181" bestFit="1" customWidth="1"/>
    <col min="15664" max="15664" width="5.69921875" style="181" bestFit="1" customWidth="1"/>
    <col min="15665" max="15665" width="5.3984375" style="181" bestFit="1" customWidth="1"/>
    <col min="15666" max="15666" width="6.3984375" style="181" bestFit="1" customWidth="1"/>
    <col min="15667" max="15667" width="8.8984375" style="181" customWidth="1"/>
    <col min="15668" max="15678" width="5.8984375" style="181" bestFit="1" customWidth="1"/>
    <col min="15679" max="15876" width="8.796875" style="181"/>
    <col min="15877" max="15877" width="8.3984375" style="181" customWidth="1"/>
    <col min="15878" max="15878" width="7" style="181" customWidth="1"/>
    <col min="15879" max="15879" width="5.3984375" style="181" bestFit="1" customWidth="1"/>
    <col min="15880" max="15880" width="6.8984375" style="181" bestFit="1" customWidth="1"/>
    <col min="15881" max="15881" width="7.8984375" style="181" bestFit="1" customWidth="1"/>
    <col min="15882" max="15883" width="6.8984375" style="181" customWidth="1"/>
    <col min="15884" max="15884" width="8.59765625" style="181" customWidth="1"/>
    <col min="15885" max="15885" width="9.09765625" style="181" customWidth="1"/>
    <col min="15886" max="15886" width="5.8984375" style="181" bestFit="1" customWidth="1"/>
    <col min="15887" max="15887" width="6.3984375" style="181" bestFit="1" customWidth="1"/>
    <col min="15888" max="15888" width="5.69921875" style="181" bestFit="1" customWidth="1"/>
    <col min="15889" max="15889" width="4.8984375" style="181" bestFit="1" customWidth="1"/>
    <col min="15890" max="15890" width="5.69921875" style="181" bestFit="1" customWidth="1"/>
    <col min="15891" max="15891" width="4.8984375" style="181" bestFit="1" customWidth="1"/>
    <col min="15892" max="15892" width="4.3984375" style="181" bestFit="1" customWidth="1"/>
    <col min="15893" max="15893" width="5.3984375" style="181" bestFit="1" customWidth="1"/>
    <col min="15894" max="15894" width="5.5" style="181" customWidth="1"/>
    <col min="15895" max="15895" width="5.3984375" style="181" bestFit="1" customWidth="1"/>
    <col min="15896" max="15896" width="6" style="181" customWidth="1"/>
    <col min="15897" max="15897" width="5.09765625" style="181" customWidth="1"/>
    <col min="15898" max="15898" width="5.8984375" style="181" customWidth="1"/>
    <col min="15899" max="15899" width="7.3984375" style="181" bestFit="1" customWidth="1"/>
    <col min="15900" max="15901" width="6.3984375" style="181" bestFit="1" customWidth="1"/>
    <col min="15902" max="15911" width="6.3984375" style="181" customWidth="1"/>
    <col min="15912" max="15912" width="7.19921875" style="181" bestFit="1" customWidth="1"/>
    <col min="15913" max="15913" width="4.59765625" style="181" bestFit="1" customWidth="1"/>
    <col min="15914" max="15914" width="6.69921875" style="181" customWidth="1"/>
    <col min="15915" max="15915" width="5.8984375" style="181" bestFit="1" customWidth="1"/>
    <col min="15916" max="15916" width="5.69921875" style="181" bestFit="1" customWidth="1"/>
    <col min="15917" max="15917" width="4.8984375" style="181" bestFit="1" customWidth="1"/>
    <col min="15918" max="15918" width="5.69921875" style="181" bestFit="1" customWidth="1"/>
    <col min="15919" max="15919" width="4.8984375" style="181" bestFit="1" customWidth="1"/>
    <col min="15920" max="15920" width="5.69921875" style="181" bestFit="1" customWidth="1"/>
    <col min="15921" max="15921" width="5.3984375" style="181" bestFit="1" customWidth="1"/>
    <col min="15922" max="15922" width="6.3984375" style="181" bestFit="1" customWidth="1"/>
    <col min="15923" max="15923" width="8.8984375" style="181" customWidth="1"/>
    <col min="15924" max="15934" width="5.8984375" style="181" bestFit="1" customWidth="1"/>
    <col min="15935" max="16132" width="8.796875" style="181"/>
    <col min="16133" max="16133" width="8.3984375" style="181" customWidth="1"/>
    <col min="16134" max="16134" width="7" style="181" customWidth="1"/>
    <col min="16135" max="16135" width="5.3984375" style="181" bestFit="1" customWidth="1"/>
    <col min="16136" max="16136" width="6.8984375" style="181" bestFit="1" customWidth="1"/>
    <col min="16137" max="16137" width="7.8984375" style="181" bestFit="1" customWidth="1"/>
    <col min="16138" max="16139" width="6.8984375" style="181" customWidth="1"/>
    <col min="16140" max="16140" width="8.59765625" style="181" customWidth="1"/>
    <col min="16141" max="16141" width="9.09765625" style="181" customWidth="1"/>
    <col min="16142" max="16142" width="5.8984375" style="181" bestFit="1" customWidth="1"/>
    <col min="16143" max="16143" width="6.3984375" style="181" bestFit="1" customWidth="1"/>
    <col min="16144" max="16144" width="5.69921875" style="181" bestFit="1" customWidth="1"/>
    <col min="16145" max="16145" width="4.8984375" style="181" bestFit="1" customWidth="1"/>
    <col min="16146" max="16146" width="5.69921875" style="181" bestFit="1" customWidth="1"/>
    <col min="16147" max="16147" width="4.8984375" style="181" bestFit="1" customWidth="1"/>
    <col min="16148" max="16148" width="4.3984375" style="181" bestFit="1" customWidth="1"/>
    <col min="16149" max="16149" width="5.3984375" style="181" bestFit="1" customWidth="1"/>
    <col min="16150" max="16150" width="5.5" style="181" customWidth="1"/>
    <col min="16151" max="16151" width="5.3984375" style="181" bestFit="1" customWidth="1"/>
    <col min="16152" max="16152" width="6" style="181" customWidth="1"/>
    <col min="16153" max="16153" width="5.09765625" style="181" customWidth="1"/>
    <col min="16154" max="16154" width="5.8984375" style="181" customWidth="1"/>
    <col min="16155" max="16155" width="7.3984375" style="181" bestFit="1" customWidth="1"/>
    <col min="16156" max="16157" width="6.3984375" style="181" bestFit="1" customWidth="1"/>
    <col min="16158" max="16167" width="6.3984375" style="181" customWidth="1"/>
    <col min="16168" max="16168" width="7.19921875" style="181" bestFit="1" customWidth="1"/>
    <col min="16169" max="16169" width="4.59765625" style="181" bestFit="1" customWidth="1"/>
    <col min="16170" max="16170" width="6.69921875" style="181" customWidth="1"/>
    <col min="16171" max="16171" width="5.8984375" style="181" bestFit="1" customWidth="1"/>
    <col min="16172" max="16172" width="5.69921875" style="181" bestFit="1" customWidth="1"/>
    <col min="16173" max="16173" width="4.8984375" style="181" bestFit="1" customWidth="1"/>
    <col min="16174" max="16174" width="5.69921875" style="181" bestFit="1" customWidth="1"/>
    <col min="16175" max="16175" width="4.8984375" style="181" bestFit="1" customWidth="1"/>
    <col min="16176" max="16176" width="5.69921875" style="181" bestFit="1" customWidth="1"/>
    <col min="16177" max="16177" width="5.3984375" style="181" bestFit="1" customWidth="1"/>
    <col min="16178" max="16178" width="6.3984375" style="181" bestFit="1" customWidth="1"/>
    <col min="16179" max="16179" width="8.8984375" style="181" customWidth="1"/>
    <col min="16180" max="16190" width="5.8984375" style="181" bestFit="1" customWidth="1"/>
    <col min="16191" max="16384" width="8.796875" style="181"/>
  </cols>
  <sheetData>
    <row r="1" spans="1:61" ht="16.2" customHeight="1" x14ac:dyDescent="0.3">
      <c r="A1" s="223" t="s">
        <v>99</v>
      </c>
      <c r="M1" s="288"/>
      <c r="X1" s="514"/>
      <c r="Y1" s="288"/>
      <c r="BB1" s="288"/>
      <c r="BD1" s="288"/>
      <c r="BE1" s="288"/>
      <c r="BF1" s="288"/>
      <c r="BG1" s="288"/>
      <c r="BH1" s="288"/>
    </row>
    <row r="2" spans="1:61" ht="16.2" thickBot="1" x14ac:dyDescent="0.35">
      <c r="A2" s="225" t="s">
        <v>100</v>
      </c>
      <c r="D2" s="192"/>
      <c r="M2" s="288"/>
      <c r="Y2" s="288"/>
      <c r="Z2" s="514"/>
      <c r="AA2" s="514"/>
      <c r="AC2" s="514"/>
      <c r="AG2" s="222"/>
      <c r="AI2" s="514"/>
      <c r="AK2" s="514"/>
      <c r="AO2" s="514"/>
      <c r="AQ2" s="514"/>
      <c r="AS2" s="514"/>
      <c r="AU2" s="514"/>
      <c r="AW2" s="514"/>
      <c r="BA2" s="452"/>
      <c r="BB2" s="452"/>
      <c r="BC2" s="452"/>
      <c r="BD2" s="452"/>
      <c r="BE2" s="288"/>
      <c r="BF2" s="288"/>
      <c r="BG2" s="288"/>
      <c r="BH2" s="288"/>
    </row>
    <row r="3" spans="1:61" ht="16.5" customHeight="1" thickBot="1" x14ac:dyDescent="0.35">
      <c r="A3" s="772"/>
      <c r="B3" s="746" t="s">
        <v>101</v>
      </c>
      <c r="C3" s="746" t="s">
        <v>102</v>
      </c>
      <c r="D3" s="758" t="s">
        <v>178</v>
      </c>
      <c r="E3" s="759"/>
      <c r="F3" s="769" t="s">
        <v>103</v>
      </c>
      <c r="G3" s="771"/>
      <c r="H3" s="771"/>
      <c r="I3" s="770"/>
      <c r="J3" s="758" t="s">
        <v>179</v>
      </c>
      <c r="K3" s="759"/>
      <c r="L3" s="758" t="s">
        <v>104</v>
      </c>
      <c r="M3" s="759"/>
      <c r="N3" s="758" t="s">
        <v>105</v>
      </c>
      <c r="O3" s="759"/>
      <c r="P3" s="758" t="s">
        <v>106</v>
      </c>
      <c r="Q3" s="764"/>
      <c r="R3" s="764"/>
      <c r="S3" s="759"/>
      <c r="T3" s="758" t="s">
        <v>220</v>
      </c>
      <c r="U3" s="764"/>
      <c r="V3" s="764"/>
      <c r="W3" s="759"/>
      <c r="X3" s="766" t="s">
        <v>107</v>
      </c>
      <c r="Y3" s="767"/>
      <c r="Z3" s="767"/>
      <c r="AA3" s="767"/>
      <c r="AB3" s="767"/>
      <c r="AC3" s="768"/>
      <c r="AD3" s="766" t="s">
        <v>108</v>
      </c>
      <c r="AE3" s="767"/>
      <c r="AF3" s="767"/>
      <c r="AG3" s="768"/>
      <c r="AH3" s="766" t="s">
        <v>109</v>
      </c>
      <c r="AI3" s="767"/>
      <c r="AJ3" s="767"/>
      <c r="AK3" s="767"/>
      <c r="AL3" s="767"/>
      <c r="AM3" s="768"/>
      <c r="AN3" s="766" t="s">
        <v>64</v>
      </c>
      <c r="AO3" s="767"/>
      <c r="AP3" s="767"/>
      <c r="AQ3" s="767"/>
      <c r="AR3" s="767"/>
      <c r="AS3" s="767"/>
      <c r="AT3" s="767"/>
      <c r="AU3" s="767"/>
      <c r="AV3" s="767"/>
      <c r="AW3" s="768"/>
      <c r="AX3" s="785" t="s">
        <v>206</v>
      </c>
      <c r="AY3" s="786"/>
      <c r="AZ3" s="787"/>
      <c r="BA3" s="782" t="s">
        <v>197</v>
      </c>
      <c r="BB3" s="783"/>
      <c r="BC3" s="783"/>
      <c r="BD3" s="784"/>
      <c r="BE3" s="779" t="s">
        <v>203</v>
      </c>
      <c r="BF3" s="780"/>
      <c r="BG3" s="780"/>
      <c r="BH3" s="781"/>
    </row>
    <row r="4" spans="1:61" ht="16.2" customHeight="1" thickBot="1" x14ac:dyDescent="0.35">
      <c r="A4" s="773"/>
      <c r="B4" s="775"/>
      <c r="C4" s="775"/>
      <c r="D4" s="760"/>
      <c r="E4" s="761"/>
      <c r="F4" s="746" t="s">
        <v>110</v>
      </c>
      <c r="G4" s="746" t="s">
        <v>111</v>
      </c>
      <c r="H4" s="754" t="s">
        <v>112</v>
      </c>
      <c r="I4" s="755"/>
      <c r="J4" s="760"/>
      <c r="K4" s="761"/>
      <c r="L4" s="760"/>
      <c r="M4" s="761"/>
      <c r="N4" s="760"/>
      <c r="O4" s="761"/>
      <c r="P4" s="762"/>
      <c r="Q4" s="765"/>
      <c r="R4" s="765"/>
      <c r="S4" s="763"/>
      <c r="T4" s="762"/>
      <c r="U4" s="765"/>
      <c r="V4" s="765"/>
      <c r="W4" s="763"/>
      <c r="X4" s="754" t="s">
        <v>39</v>
      </c>
      <c r="Y4" s="755"/>
      <c r="Z4" s="754" t="s">
        <v>70</v>
      </c>
      <c r="AA4" s="755"/>
      <c r="AB4" s="758" t="s">
        <v>193</v>
      </c>
      <c r="AC4" s="759"/>
      <c r="AD4" s="754" t="s">
        <v>39</v>
      </c>
      <c r="AE4" s="755"/>
      <c r="AF4" s="754" t="s">
        <v>70</v>
      </c>
      <c r="AG4" s="755"/>
      <c r="AH4" s="754" t="s">
        <v>39</v>
      </c>
      <c r="AI4" s="755"/>
      <c r="AJ4" s="754" t="s">
        <v>214</v>
      </c>
      <c r="AK4" s="755"/>
      <c r="AL4" s="754" t="s">
        <v>70</v>
      </c>
      <c r="AM4" s="755"/>
      <c r="AN4" s="769" t="s">
        <v>39</v>
      </c>
      <c r="AO4" s="771"/>
      <c r="AP4" s="771"/>
      <c r="AQ4" s="771"/>
      <c r="AR4" s="769" t="s">
        <v>70</v>
      </c>
      <c r="AS4" s="771"/>
      <c r="AT4" s="771"/>
      <c r="AU4" s="771"/>
      <c r="AV4" s="771"/>
      <c r="AW4" s="770"/>
      <c r="AX4" s="788"/>
      <c r="AY4" s="789"/>
      <c r="AZ4" s="790"/>
      <c r="BA4" s="776" t="s">
        <v>204</v>
      </c>
      <c r="BB4" s="777" t="s">
        <v>202</v>
      </c>
      <c r="BC4" s="777" t="s">
        <v>201</v>
      </c>
      <c r="BD4" s="776" t="s">
        <v>200</v>
      </c>
      <c r="BE4" s="776" t="s">
        <v>204</v>
      </c>
      <c r="BF4" s="776" t="s">
        <v>202</v>
      </c>
      <c r="BG4" s="776" t="s">
        <v>201</v>
      </c>
      <c r="BH4" s="776" t="s">
        <v>200</v>
      </c>
    </row>
    <row r="5" spans="1:61" ht="16.2" thickBot="1" x14ac:dyDescent="0.35">
      <c r="A5" s="773"/>
      <c r="B5" s="775"/>
      <c r="C5" s="775"/>
      <c r="D5" s="762"/>
      <c r="E5" s="763"/>
      <c r="F5" s="747"/>
      <c r="G5" s="747"/>
      <c r="H5" s="756"/>
      <c r="I5" s="757"/>
      <c r="J5" s="762"/>
      <c r="K5" s="763"/>
      <c r="L5" s="762"/>
      <c r="M5" s="763"/>
      <c r="N5" s="762"/>
      <c r="O5" s="763"/>
      <c r="P5" s="769" t="s">
        <v>39</v>
      </c>
      <c r="Q5" s="770"/>
      <c r="R5" s="769" t="s">
        <v>113</v>
      </c>
      <c r="S5" s="771"/>
      <c r="T5" s="769" t="s">
        <v>39</v>
      </c>
      <c r="U5" s="770"/>
      <c r="V5" s="769" t="s">
        <v>113</v>
      </c>
      <c r="W5" s="770"/>
      <c r="X5" s="756"/>
      <c r="Y5" s="757"/>
      <c r="Z5" s="756"/>
      <c r="AA5" s="757"/>
      <c r="AB5" s="762"/>
      <c r="AC5" s="763"/>
      <c r="AD5" s="756"/>
      <c r="AE5" s="757"/>
      <c r="AF5" s="756"/>
      <c r="AG5" s="757"/>
      <c r="AH5" s="756"/>
      <c r="AI5" s="757"/>
      <c r="AJ5" s="756"/>
      <c r="AK5" s="757"/>
      <c r="AL5" s="756"/>
      <c r="AM5" s="757"/>
      <c r="AN5" s="769" t="s">
        <v>114</v>
      </c>
      <c r="AO5" s="770"/>
      <c r="AP5" s="737" t="s">
        <v>115</v>
      </c>
      <c r="AQ5" s="737"/>
      <c r="AR5" s="736" t="s">
        <v>116</v>
      </c>
      <c r="AS5" s="738"/>
      <c r="AT5" s="794" t="s">
        <v>117</v>
      </c>
      <c r="AU5" s="755"/>
      <c r="AV5" s="795" t="s">
        <v>118</v>
      </c>
      <c r="AW5" s="796"/>
      <c r="AX5" s="791"/>
      <c r="AY5" s="792"/>
      <c r="AZ5" s="793"/>
      <c r="BA5" s="777"/>
      <c r="BB5" s="777"/>
      <c r="BC5" s="777"/>
      <c r="BD5" s="777"/>
      <c r="BE5" s="777"/>
      <c r="BF5" s="777"/>
      <c r="BG5" s="777"/>
      <c r="BH5" s="777"/>
    </row>
    <row r="6" spans="1:61" ht="16.5" customHeight="1" thickBot="1" x14ac:dyDescent="0.35">
      <c r="A6" s="774"/>
      <c r="B6" s="775"/>
      <c r="C6" s="747"/>
      <c r="D6" s="177" t="s">
        <v>119</v>
      </c>
      <c r="E6" s="177" t="s">
        <v>120</v>
      </c>
      <c r="F6" s="748" t="s">
        <v>121</v>
      </c>
      <c r="G6" s="749"/>
      <c r="H6" s="177" t="s">
        <v>119</v>
      </c>
      <c r="I6" s="226" t="s">
        <v>120</v>
      </c>
      <c r="J6" s="186" t="s">
        <v>119</v>
      </c>
      <c r="K6" s="226" t="s">
        <v>120</v>
      </c>
      <c r="L6" s="177" t="s">
        <v>119</v>
      </c>
      <c r="M6" s="226" t="s">
        <v>120</v>
      </c>
      <c r="N6" s="186" t="s">
        <v>119</v>
      </c>
      <c r="O6" s="226" t="s">
        <v>120</v>
      </c>
      <c r="P6" s="227" t="s">
        <v>122</v>
      </c>
      <c r="Q6" s="228" t="s">
        <v>123</v>
      </c>
      <c r="R6" s="227" t="s">
        <v>122</v>
      </c>
      <c r="S6" s="228" t="s">
        <v>123</v>
      </c>
      <c r="T6" s="229" t="s">
        <v>119</v>
      </c>
      <c r="U6" s="177" t="s">
        <v>120</v>
      </c>
      <c r="V6" s="229" t="s">
        <v>119</v>
      </c>
      <c r="W6" s="177" t="s">
        <v>120</v>
      </c>
      <c r="X6" s="177" t="s">
        <v>119</v>
      </c>
      <c r="Y6" s="330" t="s">
        <v>120</v>
      </c>
      <c r="Z6" s="186" t="s">
        <v>119</v>
      </c>
      <c r="AA6" s="445" t="s">
        <v>120</v>
      </c>
      <c r="AB6" s="186" t="s">
        <v>119</v>
      </c>
      <c r="AC6" s="388" t="s">
        <v>120</v>
      </c>
      <c r="AD6" s="177" t="s">
        <v>119</v>
      </c>
      <c r="AE6" s="326" t="s">
        <v>120</v>
      </c>
      <c r="AF6" s="177" t="s">
        <v>119</v>
      </c>
      <c r="AG6" s="326" t="s">
        <v>120</v>
      </c>
      <c r="AH6" s="177" t="s">
        <v>119</v>
      </c>
      <c r="AI6" s="585"/>
      <c r="AJ6" s="177" t="s">
        <v>119</v>
      </c>
      <c r="AK6" s="585" t="s">
        <v>120</v>
      </c>
      <c r="AL6" s="177" t="s">
        <v>119</v>
      </c>
      <c r="AM6" s="326" t="s">
        <v>120</v>
      </c>
      <c r="AN6" s="456" t="s">
        <v>119</v>
      </c>
      <c r="AO6" s="457" t="s">
        <v>120</v>
      </c>
      <c r="AP6" s="456" t="s">
        <v>119</v>
      </c>
      <c r="AQ6" s="457" t="s">
        <v>120</v>
      </c>
      <c r="AR6" s="177" t="s">
        <v>119</v>
      </c>
      <c r="AS6" s="455" t="s">
        <v>120</v>
      </c>
      <c r="AT6" s="455" t="s">
        <v>119</v>
      </c>
      <c r="AU6" s="455" t="s">
        <v>120</v>
      </c>
      <c r="AV6" s="177" t="s">
        <v>119</v>
      </c>
      <c r="AW6" s="455" t="s">
        <v>120</v>
      </c>
      <c r="AX6" s="453" t="s">
        <v>202</v>
      </c>
      <c r="AY6" s="490" t="s">
        <v>198</v>
      </c>
      <c r="AZ6" s="490" t="s">
        <v>199</v>
      </c>
      <c r="BA6" s="777"/>
      <c r="BB6" s="777"/>
      <c r="BC6" s="777"/>
      <c r="BD6" s="777"/>
      <c r="BE6" s="778"/>
      <c r="BF6" s="778"/>
      <c r="BG6" s="778"/>
      <c r="BH6" s="778"/>
    </row>
    <row r="7" spans="1:61" x14ac:dyDescent="0.3">
      <c r="A7" s="230">
        <v>1992</v>
      </c>
      <c r="B7" s="464">
        <v>11200.183333333332</v>
      </c>
      <c r="C7" s="465">
        <v>0.28443703504687107</v>
      </c>
      <c r="D7" s="331">
        <v>594547.28940079338</v>
      </c>
      <c r="E7" s="201"/>
      <c r="F7" s="466">
        <v>13587.6</v>
      </c>
      <c r="G7" s="466">
        <v>54862.399999999994</v>
      </c>
      <c r="H7" s="331">
        <v>68450</v>
      </c>
      <c r="I7" s="467"/>
      <c r="J7" s="232">
        <f>ROUND(D7/H7,3)</f>
        <v>8.6859999999999999</v>
      </c>
      <c r="K7" s="231"/>
      <c r="L7" s="331">
        <v>797.3</v>
      </c>
      <c r="M7" s="467"/>
      <c r="N7" s="331">
        <v>747.9</v>
      </c>
      <c r="O7" s="467"/>
      <c r="P7" s="368">
        <v>0.58899999999999997</v>
      </c>
      <c r="Q7" s="369">
        <v>4.3120000000000003</v>
      </c>
      <c r="R7" s="369">
        <v>4.7930000000000001</v>
      </c>
      <c r="S7" s="454">
        <v>3.3029999999999999</v>
      </c>
      <c r="T7" s="234">
        <f>ROUND((1.2*P7*$F7+1.1*Q7*$G7)/$H7,3)</f>
        <v>3.9420000000000002</v>
      </c>
      <c r="U7" s="235"/>
      <c r="V7" s="234">
        <f t="shared" ref="V7:V27" si="0">ROUND((1.2*R7*$F7+1.1*S7*$G7)/$H7,3)</f>
        <v>4.0540000000000003</v>
      </c>
      <c r="W7" s="235"/>
      <c r="X7" s="199">
        <f>ROUND(0.9*N7,1)</f>
        <v>673.1</v>
      </c>
      <c r="Y7" s="236"/>
      <c r="Z7" s="199">
        <f t="shared" ref="Z7:Z31" si="1">ROUND(0.5*L7,1)</f>
        <v>398.7</v>
      </c>
      <c r="AA7" s="198"/>
      <c r="AB7" s="200">
        <f>AX7*Z7</f>
        <v>397.90259999999995</v>
      </c>
      <c r="AC7" s="198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6"/>
      <c r="AN7" s="199">
        <f>ROUND(T7*H7*0.001,1)</f>
        <v>269.8</v>
      </c>
      <c r="AO7" s="236"/>
      <c r="AP7" s="14">
        <f t="shared" ref="AP7:AP33" si="2">L7*BE7*BA7</f>
        <v>322.02867270000007</v>
      </c>
      <c r="AQ7" s="291"/>
      <c r="AR7" s="200">
        <f>Z7-AF7+AL7</f>
        <v>386.5</v>
      </c>
      <c r="AS7" s="291"/>
      <c r="AT7" s="408">
        <f>0.998*AR7</f>
        <v>385.72699999999998</v>
      </c>
      <c r="AU7" s="179"/>
      <c r="AV7" s="12">
        <v>0</v>
      </c>
      <c r="AW7" s="9"/>
      <c r="AX7" s="491">
        <f>1-AY7-AZ7</f>
        <v>0.99799999999999989</v>
      </c>
      <c r="AY7" s="447">
        <f>(AR7-AT7-AV7)/AR7</f>
        <v>2.0000000000000634E-3</v>
      </c>
      <c r="AZ7" s="465">
        <f>AV7/AR7</f>
        <v>0</v>
      </c>
      <c r="BA7" s="447">
        <f>SUMPRODUCT(AX7:AZ7,BB7:BD7)</f>
        <v>0.10100000000000003</v>
      </c>
      <c r="BB7" s="492">
        <v>0.1</v>
      </c>
      <c r="BC7" s="492">
        <v>0.6</v>
      </c>
      <c r="BD7" s="493">
        <v>0.7</v>
      </c>
      <c r="BE7" s="447">
        <f t="shared" ref="BE7:BE24" si="3">SUMPRODUCT(AX7:AZ7,BF7:BH7)</f>
        <v>3.9989999999999997</v>
      </c>
      <c r="BF7" s="492">
        <v>4</v>
      </c>
      <c r="BG7" s="492">
        <v>3.5</v>
      </c>
      <c r="BH7" s="493">
        <v>3</v>
      </c>
      <c r="BI7" s="514"/>
    </row>
    <row r="8" spans="1:61" x14ac:dyDescent="0.3">
      <c r="A8" s="208">
        <v>1993</v>
      </c>
      <c r="B8" s="247">
        <v>10642.191666666668</v>
      </c>
      <c r="C8" s="294">
        <v>0.29945658290036287</v>
      </c>
      <c r="D8" s="332">
        <v>642575.01545093849</v>
      </c>
      <c r="E8" s="205"/>
      <c r="F8" s="468">
        <v>13959.699999999999</v>
      </c>
      <c r="G8" s="468">
        <v>55683.399999999994</v>
      </c>
      <c r="H8" s="332">
        <v>69643.099999999991</v>
      </c>
      <c r="I8" s="469"/>
      <c r="J8" s="206">
        <f t="shared" ref="J8:J26" si="4">ROUND(D8/H8,3)</f>
        <v>9.2270000000000003</v>
      </c>
      <c r="K8" s="207"/>
      <c r="L8" s="332">
        <v>878.4</v>
      </c>
      <c r="M8" s="469"/>
      <c r="N8" s="332">
        <v>882.39999999999986</v>
      </c>
      <c r="O8" s="469"/>
      <c r="P8" s="479">
        <f t="shared" ref="P8:S12" si="5">ROUND((P$13/P$7)^(1/6)*P7,3)</f>
        <v>0.53400000000000003</v>
      </c>
      <c r="Q8" s="334">
        <f t="shared" si="5"/>
        <v>3.8530000000000002</v>
      </c>
      <c r="R8" s="334">
        <f t="shared" si="5"/>
        <v>5.0039999999999996</v>
      </c>
      <c r="S8" s="412">
        <f t="shared" si="5"/>
        <v>3.53</v>
      </c>
      <c r="T8" s="333">
        <f>ROUND((1.2*P8*$F8+1.1*Q8*$G8)/$H8,3)</f>
        <v>3.5169999999999999</v>
      </c>
      <c r="U8" s="335"/>
      <c r="V8" s="333">
        <f t="shared" si="0"/>
        <v>4.3079999999999998</v>
      </c>
      <c r="W8" s="238"/>
      <c r="X8" s="203">
        <f t="shared" ref="X8:X25" si="6">ROUND(0.9*N8,1)</f>
        <v>794.2</v>
      </c>
      <c r="Y8" s="192"/>
      <c r="Z8" s="203">
        <f t="shared" si="1"/>
        <v>439.2</v>
      </c>
      <c r="AA8" s="209"/>
      <c r="AB8" s="204">
        <f t="shared" ref="AB8:AB33" si="7">AX8*Z8</f>
        <v>438.32159999999999</v>
      </c>
      <c r="AC8" s="209"/>
      <c r="AD8" s="175">
        <v>94</v>
      </c>
      <c r="AE8" s="411"/>
      <c r="AF8" s="17">
        <v>19.7</v>
      </c>
      <c r="AG8" s="411"/>
      <c r="AH8" s="174">
        <v>13</v>
      </c>
      <c r="AI8" s="411"/>
      <c r="AJ8" s="174">
        <f t="shared" ref="AJ8:AJ33" si="8">IF(AP8-(X8-AN8)&lt;0,0,AP8-(X8-AN8))</f>
        <v>0</v>
      </c>
      <c r="AK8" s="411"/>
      <c r="AL8" s="18">
        <v>0</v>
      </c>
      <c r="AM8" s="192"/>
      <c r="AN8" s="203">
        <f t="shared" ref="AN8:AN26" si="9">ROUND(T8*H8*0.001,1)</f>
        <v>244.9</v>
      </c>
      <c r="AO8" s="192"/>
      <c r="AP8" s="17">
        <f t="shared" si="2"/>
        <v>354.78488159999995</v>
      </c>
      <c r="AQ8" s="19"/>
      <c r="AR8" s="204">
        <f t="shared" ref="AR8:AR26" si="10">Z8-AF8+AL8</f>
        <v>419.5</v>
      </c>
      <c r="AS8" s="19"/>
      <c r="AT8" s="408">
        <f t="shared" ref="AT8:AT10" si="11">0.998*AR8</f>
        <v>418.661</v>
      </c>
      <c r="AU8" s="175"/>
      <c r="AV8" s="12">
        <v>0</v>
      </c>
      <c r="AW8" s="13"/>
      <c r="AX8" s="494">
        <f t="shared" ref="AX8:AX32" si="12">1-AY8-AZ8</f>
        <v>0.998</v>
      </c>
      <c r="AY8" s="446">
        <f t="shared" ref="AY8:AY32" si="13">(AR8-AT8-AV8)/AR8</f>
        <v>1.9999999999999966E-3</v>
      </c>
      <c r="AZ8" s="294">
        <f t="shared" ref="AZ8:AZ32" si="14">AV8/AR8</f>
        <v>0</v>
      </c>
      <c r="BA8" s="446">
        <f t="shared" ref="BA8:BA30" si="15">SUMPRODUCT(AX8:AZ8,BB8:BD8)</f>
        <v>0.10099999999999999</v>
      </c>
      <c r="BB8" s="477">
        <v>0.1</v>
      </c>
      <c r="BC8" s="477">
        <v>0.6</v>
      </c>
      <c r="BD8" s="478">
        <v>0.7</v>
      </c>
      <c r="BE8" s="446">
        <f t="shared" si="3"/>
        <v>3.9990000000000001</v>
      </c>
      <c r="BF8" s="477">
        <v>4</v>
      </c>
      <c r="BG8" s="477">
        <v>3.5</v>
      </c>
      <c r="BH8" s="478">
        <v>3</v>
      </c>
      <c r="BI8" s="514"/>
    </row>
    <row r="9" spans="1:61" x14ac:dyDescent="0.3">
      <c r="A9" s="208">
        <v>1994</v>
      </c>
      <c r="B9" s="247">
        <v>10953.833333333334</v>
      </c>
      <c r="C9" s="294">
        <v>0.34306297239774386</v>
      </c>
      <c r="D9" s="332">
        <v>699337.9041380483</v>
      </c>
      <c r="E9" s="205"/>
      <c r="F9" s="468">
        <v>14426</v>
      </c>
      <c r="G9" s="468">
        <v>56398.499999999993</v>
      </c>
      <c r="H9" s="332">
        <v>70824.5</v>
      </c>
      <c r="I9" s="469"/>
      <c r="J9" s="206">
        <f t="shared" si="4"/>
        <v>9.8740000000000006</v>
      </c>
      <c r="K9" s="207"/>
      <c r="L9" s="332">
        <v>951.2</v>
      </c>
      <c r="M9" s="469"/>
      <c r="N9" s="332">
        <v>1143.9000000000001</v>
      </c>
      <c r="O9" s="469"/>
      <c r="P9" s="479">
        <f t="shared" si="5"/>
        <v>0.48399999999999999</v>
      </c>
      <c r="Q9" s="334">
        <f t="shared" si="5"/>
        <v>3.4430000000000001</v>
      </c>
      <c r="R9" s="334">
        <f t="shared" si="5"/>
        <v>5.2249999999999996</v>
      </c>
      <c r="S9" s="412">
        <f t="shared" si="5"/>
        <v>3.7730000000000001</v>
      </c>
      <c r="T9" s="333">
        <f t="shared" ref="T9:T26" si="16">ROUND((1.2*P9*$F9+1.1*Q9*$G9)/$H9,3)</f>
        <v>3.1339999999999999</v>
      </c>
      <c r="U9" s="335"/>
      <c r="V9" s="333">
        <f t="shared" si="0"/>
        <v>4.5819999999999999</v>
      </c>
      <c r="W9" s="238"/>
      <c r="X9" s="203">
        <f t="shared" si="6"/>
        <v>1029.5</v>
      </c>
      <c r="Y9" s="192"/>
      <c r="Z9" s="203">
        <f t="shared" si="1"/>
        <v>475.6</v>
      </c>
      <c r="AA9" s="209"/>
      <c r="AB9" s="204">
        <f t="shared" si="7"/>
        <v>474.64879999999999</v>
      </c>
      <c r="AC9" s="209"/>
      <c r="AD9" s="175">
        <v>30</v>
      </c>
      <c r="AE9" s="411"/>
      <c r="AF9" s="17">
        <v>12.6</v>
      </c>
      <c r="AG9" s="411"/>
      <c r="AH9" s="174">
        <v>25</v>
      </c>
      <c r="AI9" s="411"/>
      <c r="AJ9" s="174">
        <f t="shared" si="8"/>
        <v>0</v>
      </c>
      <c r="AK9" s="411"/>
      <c r="AL9" s="18">
        <v>0</v>
      </c>
      <c r="AM9" s="192"/>
      <c r="AN9" s="203">
        <f t="shared" si="9"/>
        <v>222</v>
      </c>
      <c r="AO9" s="192"/>
      <c r="AP9" s="17">
        <f t="shared" si="2"/>
        <v>384.18872879999992</v>
      </c>
      <c r="AQ9" s="19"/>
      <c r="AR9" s="204">
        <f t="shared" si="10"/>
        <v>463</v>
      </c>
      <c r="AS9" s="19"/>
      <c r="AT9" s="408">
        <f t="shared" si="11"/>
        <v>462.07400000000001</v>
      </c>
      <c r="AU9" s="175"/>
      <c r="AV9" s="12">
        <v>0</v>
      </c>
      <c r="AW9" s="13"/>
      <c r="AX9" s="494">
        <f t="shared" si="12"/>
        <v>0.998</v>
      </c>
      <c r="AY9" s="446">
        <f t="shared" si="13"/>
        <v>1.9999999999999736E-3</v>
      </c>
      <c r="AZ9" s="294">
        <f t="shared" si="14"/>
        <v>0</v>
      </c>
      <c r="BA9" s="446">
        <f t="shared" si="15"/>
        <v>0.10099999999999998</v>
      </c>
      <c r="BB9" s="477">
        <v>0.1</v>
      </c>
      <c r="BC9" s="477">
        <v>0.6</v>
      </c>
      <c r="BD9" s="478">
        <v>0.7</v>
      </c>
      <c r="BE9" s="446">
        <f t="shared" si="3"/>
        <v>3.9990000000000001</v>
      </c>
      <c r="BF9" s="477">
        <v>4</v>
      </c>
      <c r="BG9" s="477">
        <v>3.5</v>
      </c>
      <c r="BH9" s="478">
        <v>3</v>
      </c>
      <c r="BI9" s="514"/>
    </row>
    <row r="10" spans="1:61" x14ac:dyDescent="0.3">
      <c r="A10" s="208">
        <v>1995</v>
      </c>
      <c r="B10" s="247">
        <v>11009.141666666668</v>
      </c>
      <c r="C10" s="294">
        <v>0.38679763410796036</v>
      </c>
      <c r="D10" s="332">
        <v>766058.09480863973</v>
      </c>
      <c r="E10" s="205"/>
      <c r="F10" s="468">
        <v>14938.099999999999</v>
      </c>
      <c r="G10" s="468">
        <v>57057.400000000009</v>
      </c>
      <c r="H10" s="332">
        <v>71995.5</v>
      </c>
      <c r="I10" s="469"/>
      <c r="J10" s="206">
        <f t="shared" si="4"/>
        <v>10.64</v>
      </c>
      <c r="K10" s="207"/>
      <c r="L10" s="332">
        <v>1006.8000000000001</v>
      </c>
      <c r="M10" s="469"/>
      <c r="N10" s="332">
        <v>1177.2</v>
      </c>
      <c r="O10" s="469"/>
      <c r="P10" s="479">
        <f t="shared" si="5"/>
        <v>0.439</v>
      </c>
      <c r="Q10" s="334">
        <f t="shared" si="5"/>
        <v>3.077</v>
      </c>
      <c r="R10" s="334">
        <f t="shared" si="5"/>
        <v>5.4550000000000001</v>
      </c>
      <c r="S10" s="412">
        <f t="shared" si="5"/>
        <v>4.032</v>
      </c>
      <c r="T10" s="333">
        <f t="shared" si="16"/>
        <v>2.7919999999999998</v>
      </c>
      <c r="U10" s="335"/>
      <c r="V10" s="333">
        <f t="shared" si="0"/>
        <v>4.8730000000000002</v>
      </c>
      <c r="W10" s="238"/>
      <c r="X10" s="203">
        <f t="shared" si="6"/>
        <v>1059.5</v>
      </c>
      <c r="Y10" s="192"/>
      <c r="Z10" s="203">
        <f t="shared" si="1"/>
        <v>503.4</v>
      </c>
      <c r="AA10" s="209"/>
      <c r="AB10" s="204">
        <f t="shared" si="7"/>
        <v>502.39319999999998</v>
      </c>
      <c r="AC10" s="209"/>
      <c r="AD10" s="175">
        <v>66</v>
      </c>
      <c r="AE10" s="411"/>
      <c r="AF10" s="17">
        <v>6.4</v>
      </c>
      <c r="AG10" s="411"/>
      <c r="AH10" s="174">
        <v>32</v>
      </c>
      <c r="AI10" s="411"/>
      <c r="AJ10" s="174">
        <f t="shared" si="8"/>
        <v>0</v>
      </c>
      <c r="AK10" s="411"/>
      <c r="AL10" s="18">
        <v>0</v>
      </c>
      <c r="AM10" s="192"/>
      <c r="AN10" s="203">
        <f t="shared" si="9"/>
        <v>201</v>
      </c>
      <c r="AO10" s="192"/>
      <c r="AP10" s="17">
        <f t="shared" si="2"/>
        <v>406.64551320000015</v>
      </c>
      <c r="AQ10" s="19"/>
      <c r="AR10" s="204">
        <f t="shared" si="10"/>
        <v>497</v>
      </c>
      <c r="AS10" s="19"/>
      <c r="AT10" s="408">
        <f t="shared" si="11"/>
        <v>496.00599999999997</v>
      </c>
      <c r="AU10" s="175"/>
      <c r="AV10" s="12">
        <v>0</v>
      </c>
      <c r="AW10" s="13"/>
      <c r="AX10" s="494">
        <f t="shared" si="12"/>
        <v>0.998</v>
      </c>
      <c r="AY10" s="446">
        <f t="shared" si="13"/>
        <v>2.0000000000000569E-3</v>
      </c>
      <c r="AZ10" s="294">
        <f t="shared" si="14"/>
        <v>0</v>
      </c>
      <c r="BA10" s="446">
        <f t="shared" si="15"/>
        <v>0.10100000000000003</v>
      </c>
      <c r="BB10" s="477">
        <v>0.1</v>
      </c>
      <c r="BC10" s="477">
        <v>0.6</v>
      </c>
      <c r="BD10" s="478">
        <v>0.7</v>
      </c>
      <c r="BE10" s="446">
        <f t="shared" si="3"/>
        <v>3.9990000000000001</v>
      </c>
      <c r="BF10" s="477">
        <v>4</v>
      </c>
      <c r="BG10" s="477">
        <v>3.5</v>
      </c>
      <c r="BH10" s="478">
        <v>3</v>
      </c>
      <c r="BI10" s="514"/>
    </row>
    <row r="11" spans="1:61" x14ac:dyDescent="0.3">
      <c r="A11" s="208">
        <v>1996</v>
      </c>
      <c r="B11" s="247">
        <v>11026.941666666666</v>
      </c>
      <c r="C11" s="294">
        <v>0.40438566238845414</v>
      </c>
      <c r="D11" s="332">
        <v>837608.08616594761</v>
      </c>
      <c r="E11" s="205"/>
      <c r="F11" s="468">
        <v>15419.9</v>
      </c>
      <c r="G11" s="468">
        <v>57736.799999999996</v>
      </c>
      <c r="H11" s="332">
        <v>73156.7</v>
      </c>
      <c r="I11" s="469"/>
      <c r="J11" s="206">
        <f t="shared" si="4"/>
        <v>11.45</v>
      </c>
      <c r="K11" s="207"/>
      <c r="L11" s="332">
        <v>1080.0000000000002</v>
      </c>
      <c r="M11" s="469"/>
      <c r="N11" s="332">
        <v>1536.6999999999998</v>
      </c>
      <c r="O11" s="469"/>
      <c r="P11" s="479">
        <f t="shared" si="5"/>
        <v>0.39800000000000002</v>
      </c>
      <c r="Q11" s="334">
        <f t="shared" si="5"/>
        <v>2.7490000000000001</v>
      </c>
      <c r="R11" s="334">
        <f t="shared" si="5"/>
        <v>5.6950000000000003</v>
      </c>
      <c r="S11" s="412">
        <f t="shared" si="5"/>
        <v>4.3090000000000002</v>
      </c>
      <c r="T11" s="333">
        <f t="shared" si="16"/>
        <v>2.4870000000000001</v>
      </c>
      <c r="U11" s="335"/>
      <c r="V11" s="333">
        <f t="shared" si="0"/>
        <v>5.181</v>
      </c>
      <c r="W11" s="238"/>
      <c r="X11" s="203">
        <f t="shared" si="6"/>
        <v>1383</v>
      </c>
      <c r="Y11" s="192"/>
      <c r="Z11" s="203">
        <f t="shared" si="1"/>
        <v>540</v>
      </c>
      <c r="AA11" s="209"/>
      <c r="AB11" s="204">
        <f t="shared" si="7"/>
        <v>534.6</v>
      </c>
      <c r="AC11" s="209"/>
      <c r="AD11" s="175">
        <v>19</v>
      </c>
      <c r="AE11" s="411"/>
      <c r="AF11" s="17">
        <v>10</v>
      </c>
      <c r="AG11" s="411"/>
      <c r="AH11" s="174">
        <v>17</v>
      </c>
      <c r="AI11" s="411"/>
      <c r="AJ11" s="174">
        <f t="shared" si="8"/>
        <v>0</v>
      </c>
      <c r="AK11" s="411"/>
      <c r="AL11" s="18">
        <v>0</v>
      </c>
      <c r="AM11" s="192"/>
      <c r="AN11" s="203">
        <f t="shared" si="9"/>
        <v>181.9</v>
      </c>
      <c r="AO11" s="192"/>
      <c r="AP11" s="17">
        <f t="shared" si="2"/>
        <v>453.03300000000002</v>
      </c>
      <c r="AQ11" s="19"/>
      <c r="AR11" s="204">
        <f t="shared" si="10"/>
        <v>530</v>
      </c>
      <c r="AS11" s="19"/>
      <c r="AT11" s="408">
        <f>0.99*AR11</f>
        <v>524.70000000000005</v>
      </c>
      <c r="AU11" s="175"/>
      <c r="AV11" s="12">
        <v>0</v>
      </c>
      <c r="AW11" s="13"/>
      <c r="AX11" s="494">
        <f t="shared" si="12"/>
        <v>0.9900000000000001</v>
      </c>
      <c r="AY11" s="446">
        <f t="shared" si="13"/>
        <v>9.9999999999999135E-3</v>
      </c>
      <c r="AZ11" s="294">
        <f t="shared" si="14"/>
        <v>0</v>
      </c>
      <c r="BA11" s="446">
        <f t="shared" si="15"/>
        <v>0.10499999999999997</v>
      </c>
      <c r="BB11" s="477">
        <v>0.1</v>
      </c>
      <c r="BC11" s="477">
        <v>0.6</v>
      </c>
      <c r="BD11" s="478">
        <v>0.7</v>
      </c>
      <c r="BE11" s="446">
        <f t="shared" si="3"/>
        <v>3.9950000000000001</v>
      </c>
      <c r="BF11" s="477">
        <v>4</v>
      </c>
      <c r="BG11" s="477">
        <v>3.5</v>
      </c>
      <c r="BH11" s="478">
        <v>3</v>
      </c>
      <c r="BI11" s="514"/>
    </row>
    <row r="12" spans="1:61" x14ac:dyDescent="0.3">
      <c r="A12" s="208">
        <v>1997</v>
      </c>
      <c r="B12" s="247">
        <v>11127.583333333334</v>
      </c>
      <c r="C12" s="294">
        <v>0.41907688022191741</v>
      </c>
      <c r="D12" s="332">
        <v>905887.28792600625</v>
      </c>
      <c r="E12" s="205"/>
      <c r="F12" s="468">
        <v>16835.399999999998</v>
      </c>
      <c r="G12" s="468">
        <v>57471.500000000007</v>
      </c>
      <c r="H12" s="332">
        <v>74306.900000000009</v>
      </c>
      <c r="I12" s="469"/>
      <c r="J12" s="206">
        <f t="shared" si="4"/>
        <v>12.191000000000001</v>
      </c>
      <c r="K12" s="207"/>
      <c r="L12" s="332">
        <v>1154.1999999999998</v>
      </c>
      <c r="M12" s="469"/>
      <c r="N12" s="332">
        <v>1650.5999999999997</v>
      </c>
      <c r="O12" s="469"/>
      <c r="P12" s="479">
        <f t="shared" si="5"/>
        <v>0.36099999999999999</v>
      </c>
      <c r="Q12" s="334">
        <f t="shared" si="5"/>
        <v>2.456</v>
      </c>
      <c r="R12" s="334">
        <f t="shared" si="5"/>
        <v>5.9459999999999997</v>
      </c>
      <c r="S12" s="412">
        <f t="shared" si="5"/>
        <v>4.6050000000000004</v>
      </c>
      <c r="T12" s="333">
        <f t="shared" si="16"/>
        <v>2.1880000000000002</v>
      </c>
      <c r="U12" s="335"/>
      <c r="V12" s="333">
        <f t="shared" si="0"/>
        <v>5.5339999999999998</v>
      </c>
      <c r="W12" s="238"/>
      <c r="X12" s="203">
        <f t="shared" si="6"/>
        <v>1485.5</v>
      </c>
      <c r="Y12" s="192"/>
      <c r="Z12" s="203">
        <f t="shared" si="1"/>
        <v>577.1</v>
      </c>
      <c r="AA12" s="209"/>
      <c r="AB12" s="204">
        <f t="shared" si="7"/>
        <v>571.32899999999995</v>
      </c>
      <c r="AC12" s="209"/>
      <c r="AD12" s="175">
        <v>4</v>
      </c>
      <c r="AE12" s="411"/>
      <c r="AF12" s="17">
        <v>10</v>
      </c>
      <c r="AG12" s="411"/>
      <c r="AH12" s="174">
        <v>77</v>
      </c>
      <c r="AI12" s="411"/>
      <c r="AJ12" s="174">
        <f t="shared" si="8"/>
        <v>0</v>
      </c>
      <c r="AK12" s="411"/>
      <c r="AL12" s="18">
        <v>0</v>
      </c>
      <c r="AM12" s="192"/>
      <c r="AN12" s="203">
        <f t="shared" si="9"/>
        <v>162.6</v>
      </c>
      <c r="AO12" s="192"/>
      <c r="AP12" s="17">
        <f t="shared" si="2"/>
        <v>484.15804500000002</v>
      </c>
      <c r="AQ12" s="19"/>
      <c r="AR12" s="204">
        <f t="shared" si="10"/>
        <v>567.1</v>
      </c>
      <c r="AS12" s="19"/>
      <c r="AT12" s="408">
        <f t="shared" ref="AT12:AT13" si="17">0.99*AR12</f>
        <v>561.42899999999997</v>
      </c>
      <c r="AU12" s="175"/>
      <c r="AV12" s="12">
        <v>0</v>
      </c>
      <c r="AW12" s="13"/>
      <c r="AX12" s="494">
        <f t="shared" si="12"/>
        <v>0.98999999999999988</v>
      </c>
      <c r="AY12" s="446">
        <f t="shared" si="13"/>
        <v>1.0000000000000087E-2</v>
      </c>
      <c r="AZ12" s="294">
        <f t="shared" si="14"/>
        <v>0</v>
      </c>
      <c r="BA12" s="446">
        <f t="shared" si="15"/>
        <v>0.10500000000000004</v>
      </c>
      <c r="BB12" s="477">
        <v>0.1</v>
      </c>
      <c r="BC12" s="477">
        <v>0.6</v>
      </c>
      <c r="BD12" s="478">
        <v>0.7</v>
      </c>
      <c r="BE12" s="446">
        <f t="shared" si="3"/>
        <v>3.9949999999999997</v>
      </c>
      <c r="BF12" s="477">
        <v>4</v>
      </c>
      <c r="BG12" s="477">
        <v>3.5</v>
      </c>
      <c r="BH12" s="478">
        <v>3</v>
      </c>
      <c r="BI12" s="514"/>
    </row>
    <row r="13" spans="1:61" x14ac:dyDescent="0.3">
      <c r="A13" s="208">
        <v>1998</v>
      </c>
      <c r="B13" s="247">
        <v>12202.833333333334</v>
      </c>
      <c r="C13" s="294">
        <v>0.45772104524070467</v>
      </c>
      <c r="D13" s="332">
        <v>958110.24230986845</v>
      </c>
      <c r="E13" s="205"/>
      <c r="F13" s="468">
        <v>17464.600000000002</v>
      </c>
      <c r="G13" s="468">
        <v>57991.700000000004</v>
      </c>
      <c r="H13" s="332">
        <v>75456.3</v>
      </c>
      <c r="I13" s="469"/>
      <c r="J13" s="206">
        <f t="shared" si="4"/>
        <v>12.698</v>
      </c>
      <c r="K13" s="207"/>
      <c r="L13" s="332">
        <v>1227.9999999999998</v>
      </c>
      <c r="M13" s="469"/>
      <c r="N13" s="332">
        <v>1612</v>
      </c>
      <c r="O13" s="469"/>
      <c r="P13" s="370">
        <v>0.32600000000000001</v>
      </c>
      <c r="Q13" s="371">
        <v>2.1949999999999998</v>
      </c>
      <c r="R13" s="371">
        <v>6.2089999999999996</v>
      </c>
      <c r="S13" s="242">
        <v>4.9219999999999997</v>
      </c>
      <c r="T13" s="239">
        <f t="shared" si="16"/>
        <v>1.946</v>
      </c>
      <c r="U13" s="240"/>
      <c r="V13" s="239">
        <f t="shared" si="0"/>
        <v>5.8860000000000001</v>
      </c>
      <c r="W13" s="240"/>
      <c r="X13" s="203">
        <f t="shared" si="6"/>
        <v>1450.8</v>
      </c>
      <c r="Y13" s="192"/>
      <c r="Z13" s="203">
        <f t="shared" si="1"/>
        <v>614</v>
      </c>
      <c r="AA13" s="209"/>
      <c r="AB13" s="204">
        <f t="shared" si="7"/>
        <v>607.86</v>
      </c>
      <c r="AC13" s="209"/>
      <c r="AD13" s="175">
        <v>0</v>
      </c>
      <c r="AE13" s="411"/>
      <c r="AF13" s="17">
        <v>13</v>
      </c>
      <c r="AG13" s="411"/>
      <c r="AH13" s="174">
        <v>107</v>
      </c>
      <c r="AI13" s="411"/>
      <c r="AJ13" s="174">
        <f t="shared" si="8"/>
        <v>0</v>
      </c>
      <c r="AK13" s="411"/>
      <c r="AL13" s="18">
        <v>0</v>
      </c>
      <c r="AM13" s="192"/>
      <c r="AN13" s="203">
        <f t="shared" si="9"/>
        <v>146.80000000000001</v>
      </c>
      <c r="AO13" s="192"/>
      <c r="AP13" s="17">
        <f t="shared" si="2"/>
        <v>515.11529999999993</v>
      </c>
      <c r="AQ13" s="19"/>
      <c r="AR13" s="204">
        <f t="shared" si="10"/>
        <v>601</v>
      </c>
      <c r="AS13" s="19"/>
      <c r="AT13" s="408">
        <f t="shared" si="17"/>
        <v>594.99</v>
      </c>
      <c r="AU13" s="175"/>
      <c r="AV13" s="12">
        <v>0</v>
      </c>
      <c r="AW13" s="13"/>
      <c r="AX13" s="494">
        <f t="shared" si="12"/>
        <v>0.99</v>
      </c>
      <c r="AY13" s="446">
        <f t="shared" si="13"/>
        <v>9.9999999999999846E-3</v>
      </c>
      <c r="AZ13" s="294">
        <f t="shared" si="14"/>
        <v>0</v>
      </c>
      <c r="BA13" s="446">
        <f t="shared" si="15"/>
        <v>0.105</v>
      </c>
      <c r="BB13" s="477">
        <v>0.1</v>
      </c>
      <c r="BC13" s="477">
        <v>0.6</v>
      </c>
      <c r="BD13" s="478">
        <v>0.7</v>
      </c>
      <c r="BE13" s="446">
        <f t="shared" si="3"/>
        <v>3.9950000000000001</v>
      </c>
      <c r="BF13" s="477">
        <v>4</v>
      </c>
      <c r="BG13" s="477">
        <v>3.5</v>
      </c>
      <c r="BH13" s="478">
        <v>3</v>
      </c>
      <c r="BI13" s="514"/>
    </row>
    <row r="14" spans="1:61" x14ac:dyDescent="0.3">
      <c r="A14" s="208">
        <v>1999</v>
      </c>
      <c r="B14" s="247">
        <v>13942.125</v>
      </c>
      <c r="C14" s="294">
        <v>0.45795855669800944</v>
      </c>
      <c r="D14" s="332">
        <v>1003846.4570852942</v>
      </c>
      <c r="E14" s="205"/>
      <c r="F14" s="468">
        <v>18081.600000000002</v>
      </c>
      <c r="G14" s="468">
        <v>58515.100000000006</v>
      </c>
      <c r="H14" s="332">
        <v>76596.700000000012</v>
      </c>
      <c r="I14" s="469"/>
      <c r="J14" s="206">
        <f t="shared" si="4"/>
        <v>13.106</v>
      </c>
      <c r="K14" s="207"/>
      <c r="L14" s="332">
        <v>1318.3999999999999</v>
      </c>
      <c r="M14" s="469"/>
      <c r="N14" s="332">
        <v>1753.1</v>
      </c>
      <c r="O14" s="469"/>
      <c r="P14" s="479">
        <f t="shared" ref="P14:S16" si="18">ROUND((P$17/P$13)^(1/4)*P13,3)</f>
        <v>0.38700000000000001</v>
      </c>
      <c r="Q14" s="334">
        <f t="shared" si="18"/>
        <v>2.2789999999999999</v>
      </c>
      <c r="R14" s="334">
        <f t="shared" si="18"/>
        <v>7.2709999999999999</v>
      </c>
      <c r="S14" s="412">
        <f t="shared" si="18"/>
        <v>5.39</v>
      </c>
      <c r="T14" s="333">
        <f t="shared" si="16"/>
        <v>2.0249999999999999</v>
      </c>
      <c r="U14" s="335"/>
      <c r="V14" s="333">
        <f t="shared" si="0"/>
        <v>6.5890000000000004</v>
      </c>
      <c r="W14" s="238"/>
      <c r="X14" s="203">
        <f t="shared" si="6"/>
        <v>1577.8</v>
      </c>
      <c r="Y14" s="192"/>
      <c r="Z14" s="203">
        <f t="shared" si="1"/>
        <v>659.2</v>
      </c>
      <c r="AA14" s="209"/>
      <c r="AB14" s="204">
        <f t="shared" si="7"/>
        <v>657.88160000000005</v>
      </c>
      <c r="AC14" s="209"/>
      <c r="AD14" s="175">
        <v>0</v>
      </c>
      <c r="AE14" s="411"/>
      <c r="AF14" s="17">
        <v>7</v>
      </c>
      <c r="AG14" s="411"/>
      <c r="AH14" s="174">
        <v>200</v>
      </c>
      <c r="AI14" s="411"/>
      <c r="AJ14" s="174">
        <f t="shared" si="8"/>
        <v>0</v>
      </c>
      <c r="AK14" s="411"/>
      <c r="AL14" s="18">
        <v>0</v>
      </c>
      <c r="AM14" s="192"/>
      <c r="AN14" s="203">
        <f t="shared" si="9"/>
        <v>155.1</v>
      </c>
      <c r="AO14" s="192"/>
      <c r="AP14" s="17">
        <f t="shared" si="2"/>
        <v>532.50044159999993</v>
      </c>
      <c r="AQ14" s="19"/>
      <c r="AR14" s="204">
        <f t="shared" si="10"/>
        <v>652.20000000000005</v>
      </c>
      <c r="AS14" s="19"/>
      <c r="AT14" s="408">
        <f>0.998*AR14</f>
        <v>650.89560000000006</v>
      </c>
      <c r="AU14" s="175"/>
      <c r="AV14" s="12">
        <v>0</v>
      </c>
      <c r="AW14" s="13"/>
      <c r="AX14" s="494">
        <f t="shared" si="12"/>
        <v>0.998</v>
      </c>
      <c r="AY14" s="446">
        <f t="shared" si="13"/>
        <v>1.9999999999999797E-3</v>
      </c>
      <c r="AZ14" s="294">
        <f t="shared" si="14"/>
        <v>0</v>
      </c>
      <c r="BA14" s="446">
        <f t="shared" si="15"/>
        <v>0.10099999999999999</v>
      </c>
      <c r="BB14" s="477">
        <v>0.1</v>
      </c>
      <c r="BC14" s="477">
        <v>0.6</v>
      </c>
      <c r="BD14" s="478">
        <v>0.7</v>
      </c>
      <c r="BE14" s="446">
        <f t="shared" si="3"/>
        <v>3.9990000000000001</v>
      </c>
      <c r="BF14" s="477">
        <v>4</v>
      </c>
      <c r="BG14" s="477">
        <v>3.5</v>
      </c>
      <c r="BH14" s="478">
        <v>3</v>
      </c>
      <c r="BI14" s="514"/>
    </row>
    <row r="15" spans="1:61" x14ac:dyDescent="0.3">
      <c r="A15" s="394">
        <v>2000</v>
      </c>
      <c r="B15" s="247">
        <v>14167</v>
      </c>
      <c r="C15" s="294">
        <v>0.45553203968302852</v>
      </c>
      <c r="D15" s="332">
        <v>1071980.7256536186</v>
      </c>
      <c r="E15" s="205"/>
      <c r="F15" s="468">
        <v>18725.400000000001</v>
      </c>
      <c r="G15" s="468">
        <v>58905.499999999993</v>
      </c>
      <c r="H15" s="332">
        <v>77630.899999999994</v>
      </c>
      <c r="I15" s="469"/>
      <c r="J15" s="206">
        <f t="shared" si="4"/>
        <v>13.808999999999999</v>
      </c>
      <c r="K15" s="207"/>
      <c r="L15" s="332">
        <v>1418.1</v>
      </c>
      <c r="M15" s="469"/>
      <c r="N15" s="332">
        <v>2005.8999999999999</v>
      </c>
      <c r="O15" s="469"/>
      <c r="P15" s="479">
        <f t="shared" si="18"/>
        <v>0.46</v>
      </c>
      <c r="Q15" s="334">
        <f t="shared" si="18"/>
        <v>2.3660000000000001</v>
      </c>
      <c r="R15" s="334">
        <f t="shared" si="18"/>
        <v>8.5150000000000006</v>
      </c>
      <c r="S15" s="412">
        <f t="shared" si="18"/>
        <v>5.9029999999999996</v>
      </c>
      <c r="T15" s="333">
        <f t="shared" si="16"/>
        <v>2.1080000000000001</v>
      </c>
      <c r="U15" s="335"/>
      <c r="V15" s="333">
        <f t="shared" si="0"/>
        <v>7.3920000000000003</v>
      </c>
      <c r="W15" s="238"/>
      <c r="X15" s="203">
        <f t="shared" si="6"/>
        <v>1805.3</v>
      </c>
      <c r="Y15" s="192"/>
      <c r="Z15" s="203">
        <f t="shared" si="1"/>
        <v>709.1</v>
      </c>
      <c r="AA15" s="209"/>
      <c r="AB15" s="204">
        <f t="shared" si="7"/>
        <v>694.91800000000001</v>
      </c>
      <c r="AC15" s="209"/>
      <c r="AD15" s="175">
        <v>98</v>
      </c>
      <c r="AE15" s="411"/>
      <c r="AF15" s="17">
        <v>12</v>
      </c>
      <c r="AG15" s="411"/>
      <c r="AH15" s="174">
        <v>50</v>
      </c>
      <c r="AI15" s="411"/>
      <c r="AJ15" s="174">
        <f t="shared" si="8"/>
        <v>0</v>
      </c>
      <c r="AK15" s="411"/>
      <c r="AL15" s="18">
        <v>0</v>
      </c>
      <c r="AM15" s="192"/>
      <c r="AN15" s="203">
        <f t="shared" si="9"/>
        <v>163.6</v>
      </c>
      <c r="AO15" s="192"/>
      <c r="AP15" s="17">
        <f t="shared" si="2"/>
        <v>1176.9095519999998</v>
      </c>
      <c r="AQ15" s="292"/>
      <c r="AR15" s="204">
        <f t="shared" si="10"/>
        <v>697.1</v>
      </c>
      <c r="AS15" s="292"/>
      <c r="AT15" s="451">
        <f>0.98*AR15</f>
        <v>683.15800000000002</v>
      </c>
      <c r="AU15" s="175"/>
      <c r="AV15" s="12">
        <v>0</v>
      </c>
      <c r="AW15" s="13"/>
      <c r="AX15" s="494">
        <f>1-AY15-AZ15</f>
        <v>0.98</v>
      </c>
      <c r="AY15" s="446">
        <f>(AR15-AT15-AV15)/AR15</f>
        <v>2.0000000000000011E-2</v>
      </c>
      <c r="AZ15" s="294">
        <f t="shared" si="14"/>
        <v>0</v>
      </c>
      <c r="BA15" s="446">
        <f t="shared" si="15"/>
        <v>0.20800000000000002</v>
      </c>
      <c r="BB15" s="477">
        <v>0.2</v>
      </c>
      <c r="BC15" s="477">
        <v>0.6</v>
      </c>
      <c r="BD15" s="478">
        <v>0.7</v>
      </c>
      <c r="BE15" s="446">
        <f t="shared" si="3"/>
        <v>3.9899999999999998</v>
      </c>
      <c r="BF15" s="477">
        <v>4</v>
      </c>
      <c r="BG15" s="477">
        <v>3.5</v>
      </c>
      <c r="BH15" s="478">
        <v>3</v>
      </c>
      <c r="BI15" s="514"/>
    </row>
    <row r="16" spans="1:61" x14ac:dyDescent="0.3">
      <c r="A16" s="208">
        <v>2001</v>
      </c>
      <c r="B16" s="247">
        <v>14804.416666666666</v>
      </c>
      <c r="C16" s="294">
        <v>0.45913684229514168</v>
      </c>
      <c r="D16" s="332">
        <v>1145892.7363248679</v>
      </c>
      <c r="E16" s="205"/>
      <c r="F16" s="468">
        <v>19299.099999999999</v>
      </c>
      <c r="G16" s="468">
        <v>59321.4</v>
      </c>
      <c r="H16" s="332">
        <v>78620.5</v>
      </c>
      <c r="I16" s="469"/>
      <c r="J16" s="206">
        <f t="shared" si="4"/>
        <v>14.574999999999999</v>
      </c>
      <c r="K16" s="207"/>
      <c r="L16" s="332">
        <v>1515.3000000000002</v>
      </c>
      <c r="M16" s="469"/>
      <c r="N16" s="332">
        <v>2161.6999999999998</v>
      </c>
      <c r="O16" s="469"/>
      <c r="P16" s="479">
        <f t="shared" si="18"/>
        <v>0.54600000000000004</v>
      </c>
      <c r="Q16" s="334">
        <f t="shared" si="18"/>
        <v>2.456</v>
      </c>
      <c r="R16" s="334">
        <f t="shared" si="18"/>
        <v>9.9710000000000001</v>
      </c>
      <c r="S16" s="412">
        <f t="shared" si="18"/>
        <v>6.4640000000000004</v>
      </c>
      <c r="T16" s="333">
        <f t="shared" si="16"/>
        <v>2.1989999999999998</v>
      </c>
      <c r="U16" s="335"/>
      <c r="V16" s="333">
        <f t="shared" si="0"/>
        <v>8.3019999999999996</v>
      </c>
      <c r="W16" s="238"/>
      <c r="X16" s="203">
        <f t="shared" si="6"/>
        <v>1945.5</v>
      </c>
      <c r="Y16" s="192"/>
      <c r="Z16" s="203">
        <f t="shared" si="1"/>
        <v>757.7</v>
      </c>
      <c r="AA16" s="209"/>
      <c r="AB16" s="204">
        <f t="shared" si="7"/>
        <v>719.81500000000005</v>
      </c>
      <c r="AC16" s="209"/>
      <c r="AD16" s="175">
        <v>17</v>
      </c>
      <c r="AE16" s="411"/>
      <c r="AF16" s="17">
        <v>30</v>
      </c>
      <c r="AG16" s="411"/>
      <c r="AH16" s="174">
        <v>122</v>
      </c>
      <c r="AI16" s="411"/>
      <c r="AJ16" s="174">
        <f t="shared" si="8"/>
        <v>0</v>
      </c>
      <c r="AK16" s="411"/>
      <c r="AL16" s="18">
        <v>1</v>
      </c>
      <c r="AM16" s="192"/>
      <c r="AN16" s="203">
        <f t="shared" si="9"/>
        <v>172.9</v>
      </c>
      <c r="AO16" s="192"/>
      <c r="AP16" s="17">
        <f t="shared" si="2"/>
        <v>1325.1298500000005</v>
      </c>
      <c r="AQ16" s="293"/>
      <c r="AR16" s="204">
        <f t="shared" si="10"/>
        <v>728.7</v>
      </c>
      <c r="AS16" s="293"/>
      <c r="AT16" s="408">
        <f>0.95*AR16</f>
        <v>692.26499999999999</v>
      </c>
      <c r="AU16" s="175"/>
      <c r="AV16" s="12">
        <v>0</v>
      </c>
      <c r="AW16" s="13"/>
      <c r="AX16" s="494">
        <f t="shared" si="12"/>
        <v>0.95</v>
      </c>
      <c r="AY16" s="446">
        <f t="shared" si="13"/>
        <v>5.0000000000000079E-2</v>
      </c>
      <c r="AZ16" s="294">
        <f t="shared" si="14"/>
        <v>0</v>
      </c>
      <c r="BA16" s="446">
        <f t="shared" si="15"/>
        <v>0.22000000000000006</v>
      </c>
      <c r="BB16" s="477">
        <v>0.2</v>
      </c>
      <c r="BC16" s="477">
        <v>0.6</v>
      </c>
      <c r="BD16" s="478">
        <v>0.7</v>
      </c>
      <c r="BE16" s="446">
        <f t="shared" si="3"/>
        <v>3.9750000000000001</v>
      </c>
      <c r="BF16" s="477">
        <v>4</v>
      </c>
      <c r="BG16" s="477">
        <v>3.5</v>
      </c>
      <c r="BH16" s="478">
        <v>3</v>
      </c>
      <c r="BI16" s="514"/>
    </row>
    <row r="17" spans="1:61" x14ac:dyDescent="0.3">
      <c r="A17" s="208">
        <v>2002</v>
      </c>
      <c r="B17" s="247">
        <v>15278.791666666666</v>
      </c>
      <c r="C17" s="294">
        <v>0.47732422530756097</v>
      </c>
      <c r="D17" s="332">
        <v>1227023.986789806</v>
      </c>
      <c r="E17" s="205"/>
      <c r="F17" s="468">
        <v>19873.2</v>
      </c>
      <c r="G17" s="468">
        <v>59664.5</v>
      </c>
      <c r="H17" s="332">
        <v>79537.7</v>
      </c>
      <c r="I17" s="469"/>
      <c r="J17" s="206">
        <f t="shared" si="4"/>
        <v>15.427</v>
      </c>
      <c r="K17" s="207"/>
      <c r="L17" s="332">
        <v>1653.5999999999997</v>
      </c>
      <c r="M17" s="469"/>
      <c r="N17" s="332">
        <v>2511.1999999999998</v>
      </c>
      <c r="O17" s="469"/>
      <c r="P17" s="370">
        <v>0.64800000000000002</v>
      </c>
      <c r="Q17" s="371">
        <v>2.5499999999999998</v>
      </c>
      <c r="R17" s="371">
        <v>11.676</v>
      </c>
      <c r="S17" s="242">
        <v>7.0789999999999997</v>
      </c>
      <c r="T17" s="239">
        <f t="shared" si="16"/>
        <v>2.298</v>
      </c>
      <c r="U17" s="240"/>
      <c r="V17" s="239">
        <f t="shared" si="0"/>
        <v>9.3420000000000005</v>
      </c>
      <c r="W17" s="240"/>
      <c r="X17" s="203">
        <f t="shared" si="6"/>
        <v>2260.1</v>
      </c>
      <c r="Y17" s="192"/>
      <c r="Z17" s="203">
        <f t="shared" si="1"/>
        <v>826.8</v>
      </c>
      <c r="AA17" s="209"/>
      <c r="AB17" s="204">
        <f t="shared" si="7"/>
        <v>785.45999999999992</v>
      </c>
      <c r="AC17" s="209"/>
      <c r="AD17" s="175">
        <v>1</v>
      </c>
      <c r="AE17" s="411"/>
      <c r="AF17" s="17">
        <v>17</v>
      </c>
      <c r="AG17" s="411"/>
      <c r="AH17" s="174">
        <v>311</v>
      </c>
      <c r="AI17" s="411"/>
      <c r="AJ17" s="174">
        <f t="shared" si="8"/>
        <v>0</v>
      </c>
      <c r="AK17" s="411"/>
      <c r="AL17" s="18">
        <v>0</v>
      </c>
      <c r="AM17" s="192"/>
      <c r="AN17" s="203">
        <f t="shared" si="9"/>
        <v>182.8</v>
      </c>
      <c r="AO17" s="192"/>
      <c r="AP17" s="17">
        <f t="shared" si="2"/>
        <v>1446.0731999999996</v>
      </c>
      <c r="AQ17" s="293"/>
      <c r="AR17" s="204">
        <f t="shared" si="10"/>
        <v>809.8</v>
      </c>
      <c r="AS17" s="293"/>
      <c r="AT17" s="408">
        <f t="shared" ref="AT17:AT20" si="19">0.95*AR17</f>
        <v>769.31</v>
      </c>
      <c r="AU17" s="175"/>
      <c r="AV17" s="12">
        <v>0</v>
      </c>
      <c r="AW17" s="13"/>
      <c r="AX17" s="494">
        <f t="shared" si="12"/>
        <v>0.95</v>
      </c>
      <c r="AY17" s="446">
        <f t="shared" si="13"/>
        <v>5.0000000000000017E-2</v>
      </c>
      <c r="AZ17" s="294">
        <f t="shared" si="14"/>
        <v>0</v>
      </c>
      <c r="BA17" s="446">
        <f t="shared" si="15"/>
        <v>0.22</v>
      </c>
      <c r="BB17" s="477">
        <v>0.2</v>
      </c>
      <c r="BC17" s="477">
        <v>0.6</v>
      </c>
      <c r="BD17" s="478">
        <v>0.7</v>
      </c>
      <c r="BE17" s="446">
        <f t="shared" si="3"/>
        <v>3.9749999999999996</v>
      </c>
      <c r="BF17" s="477">
        <v>4</v>
      </c>
      <c r="BG17" s="477">
        <v>3.5</v>
      </c>
      <c r="BH17" s="478">
        <v>3</v>
      </c>
      <c r="BI17" s="514"/>
    </row>
    <row r="18" spans="1:61" x14ac:dyDescent="0.3">
      <c r="A18" s="208">
        <v>2003</v>
      </c>
      <c r="B18" s="247">
        <v>15474.424244929452</v>
      </c>
      <c r="C18" s="294">
        <v>0.49168525820914133</v>
      </c>
      <c r="D18" s="332">
        <v>1317098.0068960849</v>
      </c>
      <c r="E18" s="205"/>
      <c r="F18" s="468">
        <v>20725</v>
      </c>
      <c r="G18" s="468">
        <v>59742.399999999994</v>
      </c>
      <c r="H18" s="332">
        <v>80467.399999999994</v>
      </c>
      <c r="I18" s="469"/>
      <c r="J18" s="206">
        <f t="shared" si="4"/>
        <v>16.367999999999999</v>
      </c>
      <c r="K18" s="207"/>
      <c r="L18" s="332">
        <v>1794.9999999999995</v>
      </c>
      <c r="M18" s="469"/>
      <c r="N18" s="332">
        <v>3136.3</v>
      </c>
      <c r="O18" s="469"/>
      <c r="P18" s="479">
        <f>ROUND((P19/P17)^(1/2)*P17,3)</f>
        <v>0.76100000000000001</v>
      </c>
      <c r="Q18" s="334">
        <f>ROUND((Q19/Q17)^(1/2)*Q17,3)</f>
        <v>2.4129999999999998</v>
      </c>
      <c r="R18" s="334">
        <f>ROUND((R19/R17)^(1/2)*R17,3)</f>
        <v>12.47</v>
      </c>
      <c r="S18" s="412">
        <f>ROUND((S19/S17)^(1/2)*S17,3)</f>
        <v>7.7430000000000003</v>
      </c>
      <c r="T18" s="333">
        <f t="shared" si="16"/>
        <v>2.206</v>
      </c>
      <c r="U18" s="335"/>
      <c r="V18" s="333">
        <f t="shared" si="0"/>
        <v>10.178000000000001</v>
      </c>
      <c r="W18" s="238"/>
      <c r="X18" s="203">
        <f t="shared" si="6"/>
        <v>2822.7</v>
      </c>
      <c r="Y18" s="192"/>
      <c r="Z18" s="203">
        <f t="shared" si="1"/>
        <v>897.5</v>
      </c>
      <c r="AA18" s="209"/>
      <c r="AB18" s="204">
        <f t="shared" si="7"/>
        <v>852.625</v>
      </c>
      <c r="AC18" s="209"/>
      <c r="AD18" s="175">
        <v>43</v>
      </c>
      <c r="AE18" s="411"/>
      <c r="AF18" s="17">
        <v>12</v>
      </c>
      <c r="AG18" s="411"/>
      <c r="AH18" s="174">
        <v>204</v>
      </c>
      <c r="AI18" s="411"/>
      <c r="AJ18" s="174">
        <f t="shared" si="8"/>
        <v>0</v>
      </c>
      <c r="AK18" s="411"/>
      <c r="AL18" s="18">
        <v>0</v>
      </c>
      <c r="AM18" s="192"/>
      <c r="AN18" s="203">
        <f t="shared" si="9"/>
        <v>177.5</v>
      </c>
      <c r="AO18" s="192"/>
      <c r="AP18" s="17">
        <f t="shared" si="2"/>
        <v>1569.7275</v>
      </c>
      <c r="AQ18" s="293"/>
      <c r="AR18" s="204">
        <f t="shared" si="10"/>
        <v>885.5</v>
      </c>
      <c r="AS18" s="293"/>
      <c r="AT18" s="408">
        <f t="shared" si="19"/>
        <v>841.22499999999991</v>
      </c>
      <c r="AU18" s="175"/>
      <c r="AV18" s="12">
        <v>0</v>
      </c>
      <c r="AW18" s="13"/>
      <c r="AX18" s="494">
        <f t="shared" si="12"/>
        <v>0.95</v>
      </c>
      <c r="AY18" s="446">
        <f t="shared" si="13"/>
        <v>5.00000000000001E-2</v>
      </c>
      <c r="AZ18" s="294">
        <f t="shared" si="14"/>
        <v>0</v>
      </c>
      <c r="BA18" s="446">
        <f t="shared" si="15"/>
        <v>0.22000000000000006</v>
      </c>
      <c r="BB18" s="477">
        <v>0.2</v>
      </c>
      <c r="BC18" s="477">
        <v>0.6</v>
      </c>
      <c r="BD18" s="478">
        <v>0.7</v>
      </c>
      <c r="BE18" s="446">
        <f t="shared" si="3"/>
        <v>3.9750000000000001</v>
      </c>
      <c r="BF18" s="477">
        <v>4</v>
      </c>
      <c r="BG18" s="477">
        <v>3.5</v>
      </c>
      <c r="BH18" s="478">
        <v>3</v>
      </c>
      <c r="BI18" s="514"/>
    </row>
    <row r="19" spans="1:61" x14ac:dyDescent="0.3">
      <c r="A19" s="208">
        <v>2004</v>
      </c>
      <c r="B19" s="247">
        <v>15643.195388737136</v>
      </c>
      <c r="C19" s="294">
        <v>0.53839098490359949</v>
      </c>
      <c r="D19" s="332">
        <v>1419698.9553041635</v>
      </c>
      <c r="E19" s="205"/>
      <c r="F19" s="468">
        <v>21601.199999999997</v>
      </c>
      <c r="G19" s="468">
        <v>59835.199999999997</v>
      </c>
      <c r="H19" s="332">
        <v>81436.399999999994</v>
      </c>
      <c r="I19" s="469"/>
      <c r="J19" s="206">
        <f t="shared" si="4"/>
        <v>17.433</v>
      </c>
      <c r="K19" s="207"/>
      <c r="L19" s="332">
        <v>2012</v>
      </c>
      <c r="M19" s="469"/>
      <c r="N19" s="332">
        <v>3430.9</v>
      </c>
      <c r="O19" s="469"/>
      <c r="P19" s="370">
        <v>0.89400000000000002</v>
      </c>
      <c r="Q19" s="371">
        <v>2.2839999999999998</v>
      </c>
      <c r="R19" s="371">
        <v>13.317</v>
      </c>
      <c r="S19" s="242">
        <v>8.4700000000000006</v>
      </c>
      <c r="T19" s="239">
        <f t="shared" si="16"/>
        <v>2.1309999999999998</v>
      </c>
      <c r="U19" s="240"/>
      <c r="V19" s="239">
        <f t="shared" si="0"/>
        <v>11.084</v>
      </c>
      <c r="W19" s="240"/>
      <c r="X19" s="203">
        <f t="shared" si="6"/>
        <v>3087.8</v>
      </c>
      <c r="Y19" s="192"/>
      <c r="Z19" s="203">
        <f t="shared" si="1"/>
        <v>1006</v>
      </c>
      <c r="AA19" s="209"/>
      <c r="AB19" s="204">
        <f t="shared" si="7"/>
        <v>955.69999999999993</v>
      </c>
      <c r="AC19" s="209"/>
      <c r="AD19" s="175">
        <v>41</v>
      </c>
      <c r="AE19" s="411"/>
      <c r="AF19" s="17">
        <v>25</v>
      </c>
      <c r="AG19" s="411"/>
      <c r="AH19" s="174">
        <v>206</v>
      </c>
      <c r="AI19" s="411"/>
      <c r="AJ19" s="174">
        <f t="shared" si="8"/>
        <v>0</v>
      </c>
      <c r="AK19" s="411"/>
      <c r="AL19" s="18">
        <v>0</v>
      </c>
      <c r="AM19" s="192"/>
      <c r="AN19" s="203">
        <f t="shared" si="9"/>
        <v>173.5</v>
      </c>
      <c r="AO19" s="192"/>
      <c r="AP19" s="17">
        <f t="shared" si="2"/>
        <v>1759.4940000000001</v>
      </c>
      <c r="AQ19" s="293"/>
      <c r="AR19" s="204">
        <f t="shared" si="10"/>
        <v>981</v>
      </c>
      <c r="AS19" s="293"/>
      <c r="AT19" s="408">
        <f t="shared" si="19"/>
        <v>931.94999999999993</v>
      </c>
      <c r="AU19" s="175"/>
      <c r="AV19" s="12">
        <v>0</v>
      </c>
      <c r="AW19" s="13"/>
      <c r="AX19" s="494">
        <f t="shared" si="12"/>
        <v>0.95</v>
      </c>
      <c r="AY19" s="446">
        <f t="shared" si="13"/>
        <v>5.0000000000000072E-2</v>
      </c>
      <c r="AZ19" s="294">
        <f t="shared" si="14"/>
        <v>0</v>
      </c>
      <c r="BA19" s="446">
        <f t="shared" si="15"/>
        <v>0.22000000000000003</v>
      </c>
      <c r="BB19" s="477">
        <v>0.2</v>
      </c>
      <c r="BC19" s="477">
        <v>0.6</v>
      </c>
      <c r="BD19" s="478">
        <v>0.7</v>
      </c>
      <c r="BE19" s="446">
        <f t="shared" si="3"/>
        <v>3.9750000000000001</v>
      </c>
      <c r="BF19" s="477">
        <v>4</v>
      </c>
      <c r="BG19" s="477">
        <v>3.5</v>
      </c>
      <c r="BH19" s="478">
        <v>3</v>
      </c>
      <c r="BI19" s="514"/>
    </row>
    <row r="20" spans="1:61" x14ac:dyDescent="0.3">
      <c r="A20" s="208">
        <v>2005</v>
      </c>
      <c r="B20" s="247">
        <v>15734.610265735004</v>
      </c>
      <c r="C20" s="294">
        <v>0.58361582763550179</v>
      </c>
      <c r="D20" s="332">
        <v>1588646</v>
      </c>
      <c r="E20" s="210"/>
      <c r="F20" s="468">
        <v>22332</v>
      </c>
      <c r="G20" s="468">
        <v>60060.100000000006</v>
      </c>
      <c r="H20" s="332">
        <v>82392.100000000006</v>
      </c>
      <c r="I20" s="469"/>
      <c r="J20" s="206">
        <f t="shared" si="4"/>
        <v>19.282</v>
      </c>
      <c r="K20" s="207"/>
      <c r="L20" s="332">
        <v>2288.2999999999997</v>
      </c>
      <c r="M20" s="469"/>
      <c r="N20" s="332">
        <v>3787.0999999999995</v>
      </c>
      <c r="O20" s="469"/>
      <c r="P20" s="479">
        <f>ROUND((P21/P19)^(1/2)*P19,3)</f>
        <v>0.91400000000000003</v>
      </c>
      <c r="Q20" s="334">
        <f>ROUND((Q21/Q19)^(1/2)*Q19,3)</f>
        <v>2.2149999999999999</v>
      </c>
      <c r="R20" s="334">
        <f>ROUND((R21/R19)^(1/2)*R19,3)</f>
        <v>13.869</v>
      </c>
      <c r="S20" s="412">
        <f>ROUND((S21/S19)^(1/2)*S19,3)</f>
        <v>9.1609999999999996</v>
      </c>
      <c r="T20" s="333">
        <f t="shared" si="16"/>
        <v>2.073</v>
      </c>
      <c r="U20" s="335"/>
      <c r="V20" s="333">
        <f t="shared" si="0"/>
        <v>11.856999999999999</v>
      </c>
      <c r="W20" s="238"/>
      <c r="X20" s="203">
        <f t="shared" si="6"/>
        <v>3408.4</v>
      </c>
      <c r="Y20" s="192"/>
      <c r="Z20" s="203">
        <f t="shared" si="1"/>
        <v>1144.2</v>
      </c>
      <c r="AA20" s="209"/>
      <c r="AB20" s="204">
        <f t="shared" si="7"/>
        <v>1086.9899999999998</v>
      </c>
      <c r="AC20" s="209"/>
      <c r="AD20" s="175">
        <v>1</v>
      </c>
      <c r="AE20" s="411"/>
      <c r="AF20" s="17">
        <v>22</v>
      </c>
      <c r="AG20" s="411"/>
      <c r="AH20" s="174">
        <v>475</v>
      </c>
      <c r="AI20" s="411"/>
      <c r="AJ20" s="174">
        <f t="shared" si="8"/>
        <v>0</v>
      </c>
      <c r="AK20" s="411"/>
      <c r="AL20" s="18">
        <v>0</v>
      </c>
      <c r="AM20" s="192"/>
      <c r="AN20" s="203">
        <f t="shared" si="9"/>
        <v>170.8</v>
      </c>
      <c r="AO20" s="192"/>
      <c r="AP20" s="17">
        <f t="shared" si="2"/>
        <v>2001.11835</v>
      </c>
      <c r="AQ20" s="293"/>
      <c r="AR20" s="204">
        <f>Z20-AF20+AL20</f>
        <v>1122.2</v>
      </c>
      <c r="AS20" s="293"/>
      <c r="AT20" s="451">
        <f t="shared" si="19"/>
        <v>1066.0899999999999</v>
      </c>
      <c r="AU20" s="175"/>
      <c r="AV20" s="12">
        <v>0</v>
      </c>
      <c r="AW20" s="13"/>
      <c r="AX20" s="494">
        <f t="shared" si="12"/>
        <v>0.94999999999999984</v>
      </c>
      <c r="AY20" s="446">
        <f>(AR20-AT20-AV20)/AR20</f>
        <v>5.0000000000000114E-2</v>
      </c>
      <c r="AZ20" s="294">
        <f>AV20/AR20</f>
        <v>0</v>
      </c>
      <c r="BA20" s="446">
        <f t="shared" si="15"/>
        <v>0.22000000000000003</v>
      </c>
      <c r="BB20" s="477">
        <v>0.2</v>
      </c>
      <c r="BC20" s="477">
        <v>0.6</v>
      </c>
      <c r="BD20" s="478">
        <v>0.7</v>
      </c>
      <c r="BE20" s="446">
        <f t="shared" si="3"/>
        <v>3.9749999999999996</v>
      </c>
      <c r="BF20" s="477">
        <v>4</v>
      </c>
      <c r="BG20" s="477">
        <v>3.5</v>
      </c>
      <c r="BH20" s="478">
        <v>3</v>
      </c>
      <c r="BI20" s="514"/>
    </row>
    <row r="21" spans="1:61" x14ac:dyDescent="0.3">
      <c r="A21" s="208">
        <v>2006</v>
      </c>
      <c r="B21" s="247">
        <v>15888.333485966758</v>
      </c>
      <c r="C21" s="294">
        <v>0.62213447225944496</v>
      </c>
      <c r="D21" s="332">
        <v>1699501</v>
      </c>
      <c r="E21" s="210"/>
      <c r="F21" s="468">
        <v>23045.8</v>
      </c>
      <c r="G21" s="468">
        <v>60265.4</v>
      </c>
      <c r="H21" s="332">
        <v>83311.199999999997</v>
      </c>
      <c r="I21" s="469"/>
      <c r="J21" s="206">
        <f t="shared" si="4"/>
        <v>20.399000000000001</v>
      </c>
      <c r="K21" s="207"/>
      <c r="L21" s="332">
        <v>2504.9999999999995</v>
      </c>
      <c r="M21" s="469"/>
      <c r="N21" s="332">
        <v>3854.6</v>
      </c>
      <c r="O21" s="469"/>
      <c r="P21" s="370">
        <v>0.93400000000000005</v>
      </c>
      <c r="Q21" s="371">
        <v>2.1480000000000001</v>
      </c>
      <c r="R21" s="371">
        <v>14.444000000000001</v>
      </c>
      <c r="S21" s="242">
        <v>9.9079999999999995</v>
      </c>
      <c r="T21" s="239">
        <f t="shared" si="16"/>
        <v>2.0190000000000001</v>
      </c>
      <c r="U21" s="240"/>
      <c r="V21" s="239">
        <f t="shared" si="0"/>
        <v>12.679</v>
      </c>
      <c r="W21" s="240"/>
      <c r="X21" s="203">
        <f t="shared" si="6"/>
        <v>3469.1</v>
      </c>
      <c r="Y21" s="192"/>
      <c r="Z21" s="203">
        <f t="shared" si="1"/>
        <v>1252.5</v>
      </c>
      <c r="AA21" s="209"/>
      <c r="AB21" s="204">
        <f t="shared" si="7"/>
        <v>1077.5295454545453</v>
      </c>
      <c r="AC21" s="209"/>
      <c r="AD21" s="175">
        <v>1</v>
      </c>
      <c r="AE21" s="411"/>
      <c r="AF21" s="17">
        <v>15</v>
      </c>
      <c r="AG21" s="411"/>
      <c r="AH21" s="174">
        <v>650</v>
      </c>
      <c r="AI21" s="411"/>
      <c r="AJ21" s="174">
        <f t="shared" si="8"/>
        <v>0</v>
      </c>
      <c r="AK21" s="411"/>
      <c r="AL21" s="18">
        <v>0</v>
      </c>
      <c r="AM21" s="192"/>
      <c r="AN21" s="203">
        <f t="shared" si="9"/>
        <v>168.2</v>
      </c>
      <c r="AO21" s="192"/>
      <c r="AP21" s="17">
        <f t="shared" si="2"/>
        <v>2530.4196013125184</v>
      </c>
      <c r="AQ21" s="293"/>
      <c r="AR21" s="204">
        <f>Z21-AF21+AL21</f>
        <v>1237.5</v>
      </c>
      <c r="AS21" s="293"/>
      <c r="AT21" s="408">
        <f t="shared" ref="AT21:AT24" si="20">0.85*Z21</f>
        <v>1064.625</v>
      </c>
      <c r="AU21" s="175"/>
      <c r="AV21" s="18">
        <f>ROUND(0.02*V21*H21*0.001,1)</f>
        <v>21.1</v>
      </c>
      <c r="AW21" s="13"/>
      <c r="AX21" s="494">
        <f t="shared" si="12"/>
        <v>0.86030303030303024</v>
      </c>
      <c r="AY21" s="446">
        <f t="shared" si="13"/>
        <v>0.12264646464646466</v>
      </c>
      <c r="AZ21" s="294">
        <f t="shared" si="14"/>
        <v>1.7050505050505052E-2</v>
      </c>
      <c r="BA21" s="446">
        <f t="shared" si="15"/>
        <v>0.25758383838383836</v>
      </c>
      <c r="BB21" s="477">
        <v>0.2</v>
      </c>
      <c r="BC21" s="477">
        <v>0.6</v>
      </c>
      <c r="BD21" s="478">
        <v>0.7</v>
      </c>
      <c r="BE21" s="446">
        <f t="shared" si="3"/>
        <v>3.9216262626262623</v>
      </c>
      <c r="BF21" s="477">
        <v>4</v>
      </c>
      <c r="BG21" s="477">
        <v>3.5</v>
      </c>
      <c r="BH21" s="478">
        <v>3</v>
      </c>
      <c r="BI21" s="514"/>
    </row>
    <row r="22" spans="1:61" x14ac:dyDescent="0.3">
      <c r="A22" s="208">
        <v>2007</v>
      </c>
      <c r="B22" s="247">
        <v>15983.394521129392</v>
      </c>
      <c r="C22" s="294">
        <v>0.70071005610581294</v>
      </c>
      <c r="D22" s="332">
        <v>1820667</v>
      </c>
      <c r="E22" s="210"/>
      <c r="F22" s="468">
        <v>23746.3</v>
      </c>
      <c r="G22" s="468">
        <v>60472.19999999999</v>
      </c>
      <c r="H22" s="332">
        <v>84218.499999999985</v>
      </c>
      <c r="I22" s="469"/>
      <c r="J22" s="206">
        <f t="shared" si="4"/>
        <v>21.617999999999999</v>
      </c>
      <c r="K22" s="207"/>
      <c r="L22" s="332">
        <v>2662.7000000000003</v>
      </c>
      <c r="M22" s="469"/>
      <c r="N22" s="332">
        <v>4303.2000000000007</v>
      </c>
      <c r="O22" s="469"/>
      <c r="P22" s="479">
        <f>ROUND((P23/P21)^(1/2)*P21,3)</f>
        <v>0.93</v>
      </c>
      <c r="Q22" s="334">
        <f>ROUND((Q23/Q21)^(1/2)*Q21,3)</f>
        <v>2.0369999999999999</v>
      </c>
      <c r="R22" s="334">
        <f>ROUND((R23/R21)^(1/2)*R21,3)</f>
        <v>13.529</v>
      </c>
      <c r="S22" s="412">
        <f>ROUND((S23/S21)^(1/2)*S21,3)</f>
        <v>8.968</v>
      </c>
      <c r="T22" s="333">
        <f t="shared" si="16"/>
        <v>1.9239999999999999</v>
      </c>
      <c r="U22" s="335"/>
      <c r="V22" s="333">
        <f t="shared" si="0"/>
        <v>11.661</v>
      </c>
      <c r="W22" s="238"/>
      <c r="X22" s="203">
        <f t="shared" si="6"/>
        <v>3872.9</v>
      </c>
      <c r="Y22" s="192"/>
      <c r="Z22" s="203">
        <f t="shared" si="1"/>
        <v>1331.4</v>
      </c>
      <c r="AA22" s="209"/>
      <c r="AB22" s="204">
        <f t="shared" si="7"/>
        <v>1155.1150459981602</v>
      </c>
      <c r="AC22" s="209"/>
      <c r="AD22" s="175">
        <v>1</v>
      </c>
      <c r="AE22" s="411"/>
      <c r="AF22" s="17">
        <v>27</v>
      </c>
      <c r="AG22" s="411"/>
      <c r="AH22" s="174">
        <v>500</v>
      </c>
      <c r="AI22" s="411"/>
      <c r="AJ22" s="174">
        <f t="shared" si="8"/>
        <v>0</v>
      </c>
      <c r="AK22" s="411"/>
      <c r="AL22" s="18">
        <v>0</v>
      </c>
      <c r="AM22" s="192"/>
      <c r="AN22" s="203">
        <f t="shared" si="9"/>
        <v>162</v>
      </c>
      <c r="AO22" s="192"/>
      <c r="AP22" s="17">
        <f t="shared" si="2"/>
        <v>2660.3074254187809</v>
      </c>
      <c r="AQ22" s="293"/>
      <c r="AR22" s="204">
        <f t="shared" si="10"/>
        <v>1304.4000000000001</v>
      </c>
      <c r="AS22" s="293"/>
      <c r="AT22" s="408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94">
        <f t="shared" si="12"/>
        <v>0.86759429622815087</v>
      </c>
      <c r="AY22" s="446">
        <f t="shared" si="13"/>
        <v>0.11737963814780744</v>
      </c>
      <c r="AZ22" s="294">
        <f t="shared" si="14"/>
        <v>1.5026065624041705E-2</v>
      </c>
      <c r="BA22" s="446">
        <f t="shared" si="15"/>
        <v>0.25446488807114387</v>
      </c>
      <c r="BB22" s="477">
        <v>0.2</v>
      </c>
      <c r="BC22" s="477">
        <v>0.6</v>
      </c>
      <c r="BD22" s="478">
        <v>0.7</v>
      </c>
      <c r="BE22" s="446">
        <f t="shared" si="3"/>
        <v>3.9262841153020545</v>
      </c>
      <c r="BF22" s="477">
        <v>4</v>
      </c>
      <c r="BG22" s="477">
        <v>3.5</v>
      </c>
      <c r="BH22" s="478">
        <v>3</v>
      </c>
      <c r="BI22" s="514"/>
    </row>
    <row r="23" spans="1:61" x14ac:dyDescent="0.3">
      <c r="A23" s="208">
        <v>2008</v>
      </c>
      <c r="B23" s="247">
        <v>16365.316655421802</v>
      </c>
      <c r="C23" s="294">
        <v>0.84008128626525913</v>
      </c>
      <c r="D23" s="332">
        <v>1923749</v>
      </c>
      <c r="E23" s="210"/>
      <c r="F23" s="468">
        <v>24673.1</v>
      </c>
      <c r="G23" s="468">
        <v>60445.600000000006</v>
      </c>
      <c r="H23" s="332">
        <v>85118.700000000012</v>
      </c>
      <c r="I23" s="469"/>
      <c r="J23" s="206">
        <f t="shared" si="4"/>
        <v>22.600999999999999</v>
      </c>
      <c r="K23" s="207"/>
      <c r="L23" s="332">
        <v>2782.7999999999993</v>
      </c>
      <c r="M23" s="469"/>
      <c r="N23" s="332">
        <v>4573.1000000000004</v>
      </c>
      <c r="O23" s="469"/>
      <c r="P23" s="370">
        <v>0.92700000000000005</v>
      </c>
      <c r="Q23" s="371">
        <v>1.9319999999999999</v>
      </c>
      <c r="R23" s="371">
        <v>12.672000000000001</v>
      </c>
      <c r="S23" s="242">
        <v>8.1180000000000003</v>
      </c>
      <c r="T23" s="239">
        <f t="shared" si="16"/>
        <v>1.8320000000000001</v>
      </c>
      <c r="U23" s="240"/>
      <c r="V23" s="239">
        <f t="shared" si="0"/>
        <v>10.749000000000001</v>
      </c>
      <c r="W23" s="240"/>
      <c r="X23" s="203">
        <f t="shared" si="6"/>
        <v>4115.8</v>
      </c>
      <c r="Y23" s="192"/>
      <c r="Z23" s="203">
        <f t="shared" si="1"/>
        <v>1391.4</v>
      </c>
      <c r="AA23" s="209"/>
      <c r="AB23" s="204">
        <f t="shared" si="7"/>
        <v>1203.4480517770953</v>
      </c>
      <c r="AC23" s="209"/>
      <c r="AD23" s="175">
        <v>10</v>
      </c>
      <c r="AE23" s="411"/>
      <c r="AF23" s="17">
        <v>36</v>
      </c>
      <c r="AG23" s="411"/>
      <c r="AH23" s="174">
        <v>1100</v>
      </c>
      <c r="AI23" s="411"/>
      <c r="AJ23" s="174">
        <f t="shared" si="8"/>
        <v>0</v>
      </c>
      <c r="AK23" s="411"/>
      <c r="AL23" s="18">
        <v>12</v>
      </c>
      <c r="AM23" s="192"/>
      <c r="AN23" s="203">
        <f t="shared" si="9"/>
        <v>155.9</v>
      </c>
      <c r="AO23" s="192"/>
      <c r="AP23" s="17">
        <f t="shared" si="2"/>
        <v>2789.8304454783843</v>
      </c>
      <c r="AQ23" s="293"/>
      <c r="AR23" s="204">
        <f t="shared" si="10"/>
        <v>1367.4</v>
      </c>
      <c r="AS23" s="293"/>
      <c r="AT23" s="408">
        <f t="shared" si="20"/>
        <v>1182.69</v>
      </c>
      <c r="AU23" s="175"/>
      <c r="AV23" s="18">
        <f t="shared" si="21"/>
        <v>18.3</v>
      </c>
      <c r="AW23" s="13"/>
      <c r="AX23" s="494">
        <f t="shared" si="12"/>
        <v>0.86491882404563403</v>
      </c>
      <c r="AY23" s="446">
        <f t="shared" si="13"/>
        <v>0.12169811320754718</v>
      </c>
      <c r="AZ23" s="294">
        <f t="shared" si="14"/>
        <v>1.338306274681878E-2</v>
      </c>
      <c r="BA23" s="446">
        <f t="shared" si="15"/>
        <v>0.25537077665642827</v>
      </c>
      <c r="BB23" s="477">
        <v>0.2</v>
      </c>
      <c r="BC23" s="477">
        <v>0.6</v>
      </c>
      <c r="BD23" s="478">
        <v>0.7</v>
      </c>
      <c r="BE23" s="446">
        <f t="shared" si="3"/>
        <v>3.9257678806494076</v>
      </c>
      <c r="BF23" s="477">
        <v>4</v>
      </c>
      <c r="BG23" s="477">
        <v>3.5</v>
      </c>
      <c r="BH23" s="478">
        <v>3</v>
      </c>
      <c r="BI23" s="514"/>
    </row>
    <row r="24" spans="1:61" x14ac:dyDescent="0.3">
      <c r="A24" s="208">
        <v>2009</v>
      </c>
      <c r="B24" s="247">
        <v>17865.439503376398</v>
      </c>
      <c r="C24" s="294">
        <v>0.89485458612975399</v>
      </c>
      <c r="D24" s="332">
        <v>2027591</v>
      </c>
      <c r="E24" s="210"/>
      <c r="F24" s="468">
        <v>25584.7</v>
      </c>
      <c r="G24" s="468">
        <v>60440.299999999996</v>
      </c>
      <c r="H24" s="332">
        <v>86025</v>
      </c>
      <c r="I24" s="469"/>
      <c r="J24" s="206">
        <f t="shared" si="4"/>
        <v>23.57</v>
      </c>
      <c r="K24" s="207"/>
      <c r="L24" s="332">
        <v>3035.8999999999996</v>
      </c>
      <c r="M24" s="469"/>
      <c r="N24" s="332">
        <v>4371.7</v>
      </c>
      <c r="O24" s="469"/>
      <c r="P24" s="479">
        <f>ROUND((P25/P23)^(1/2)*P23,3)</f>
        <v>1.1459999999999999</v>
      </c>
      <c r="Q24" s="334">
        <f>ROUND((Q25/Q23)^(1/2)*Q23,3)</f>
        <v>2.1970000000000001</v>
      </c>
      <c r="R24" s="334">
        <f>ROUND((R25/R23)^(1/2)*R23,3)</f>
        <v>12.837</v>
      </c>
      <c r="S24" s="412">
        <f>ROUND((S25/S23)^(1/2)*S23,3)</f>
        <v>9.4019999999999992</v>
      </c>
      <c r="T24" s="333">
        <f t="shared" si="16"/>
        <v>2.1070000000000002</v>
      </c>
      <c r="U24" s="335"/>
      <c r="V24" s="333">
        <f t="shared" si="0"/>
        <v>11.848000000000001</v>
      </c>
      <c r="W24" s="238"/>
      <c r="X24" s="203">
        <f t="shared" si="6"/>
        <v>3934.5</v>
      </c>
      <c r="Y24" s="192"/>
      <c r="Z24" s="203">
        <f t="shared" si="1"/>
        <v>1518</v>
      </c>
      <c r="AA24" s="209"/>
      <c r="AB24" s="204">
        <f t="shared" si="7"/>
        <v>1306.6547031354235</v>
      </c>
      <c r="AC24" s="209"/>
      <c r="AD24" s="175">
        <v>0</v>
      </c>
      <c r="AE24" s="411"/>
      <c r="AF24" s="17">
        <v>21</v>
      </c>
      <c r="AG24" s="411"/>
      <c r="AH24" s="174">
        <v>1500</v>
      </c>
      <c r="AI24" s="411"/>
      <c r="AJ24" s="174">
        <f t="shared" si="8"/>
        <v>0</v>
      </c>
      <c r="AK24" s="411"/>
      <c r="AL24" s="18">
        <v>2</v>
      </c>
      <c r="AM24" s="192"/>
      <c r="AN24" s="203">
        <f t="shared" si="9"/>
        <v>181.3</v>
      </c>
      <c r="AO24" s="192"/>
      <c r="AP24" s="17">
        <f t="shared" si="2"/>
        <v>3061.8940397768401</v>
      </c>
      <c r="AQ24" s="293"/>
      <c r="AR24" s="204">
        <f t="shared" si="10"/>
        <v>1499</v>
      </c>
      <c r="AS24" s="293"/>
      <c r="AT24" s="408">
        <f t="shared" si="20"/>
        <v>1290.3</v>
      </c>
      <c r="AU24" s="175"/>
      <c r="AV24" s="18">
        <f t="shared" si="21"/>
        <v>20.399999999999999</v>
      </c>
      <c r="AW24" s="13"/>
      <c r="AX24" s="494">
        <f t="shared" si="12"/>
        <v>0.86077384923282185</v>
      </c>
      <c r="AY24" s="446">
        <f t="shared" si="13"/>
        <v>0.1256170780520347</v>
      </c>
      <c r="AZ24" s="294">
        <f t="shared" si="14"/>
        <v>1.3609072715143429E-2</v>
      </c>
      <c r="BA24" s="446">
        <f t="shared" si="15"/>
        <v>0.25705136757838559</v>
      </c>
      <c r="BB24" s="477">
        <v>0.2</v>
      </c>
      <c r="BC24" s="477">
        <v>0.6</v>
      </c>
      <c r="BD24" s="478">
        <v>0.7</v>
      </c>
      <c r="BE24" s="446">
        <f t="shared" si="3"/>
        <v>3.9235823882588394</v>
      </c>
      <c r="BF24" s="477">
        <v>4</v>
      </c>
      <c r="BG24" s="477">
        <v>3.5</v>
      </c>
      <c r="BH24" s="478">
        <v>3</v>
      </c>
      <c r="BI24" s="514"/>
    </row>
    <row r="25" spans="1:61" x14ac:dyDescent="0.3">
      <c r="A25" s="208">
        <v>2010</v>
      </c>
      <c r="B25" s="247">
        <v>19234.237499029401</v>
      </c>
      <c r="C25" s="294">
        <v>1</v>
      </c>
      <c r="D25" s="332">
        <v>2157828</v>
      </c>
      <c r="E25" s="210"/>
      <c r="F25" s="468">
        <v>26515.899999999998</v>
      </c>
      <c r="G25" s="468">
        <v>60431.5</v>
      </c>
      <c r="H25" s="332">
        <v>86947.4</v>
      </c>
      <c r="I25" s="469"/>
      <c r="J25" s="206">
        <f t="shared" si="4"/>
        <v>24.818000000000001</v>
      </c>
      <c r="K25" s="207"/>
      <c r="L25" s="332">
        <v>3036.4000000000005</v>
      </c>
      <c r="M25" s="469"/>
      <c r="N25" s="332">
        <v>4625.7</v>
      </c>
      <c r="O25" s="469"/>
      <c r="P25" s="370">
        <v>1.417</v>
      </c>
      <c r="Q25" s="371">
        <v>2.4990000000000001</v>
      </c>
      <c r="R25" s="371">
        <v>13.005000000000001</v>
      </c>
      <c r="S25" s="242">
        <v>10.89</v>
      </c>
      <c r="T25" s="239">
        <f t="shared" si="16"/>
        <v>2.4289999999999998</v>
      </c>
      <c r="U25" s="240"/>
      <c r="V25" s="239">
        <f t="shared" si="0"/>
        <v>13.085000000000001</v>
      </c>
      <c r="W25" s="240"/>
      <c r="X25" s="203">
        <f t="shared" si="6"/>
        <v>4163.1000000000004</v>
      </c>
      <c r="Y25" s="192"/>
      <c r="Z25" s="203">
        <f t="shared" si="1"/>
        <v>1518.2</v>
      </c>
      <c r="AA25" s="209"/>
      <c r="AB25" s="204">
        <f t="shared" si="7"/>
        <v>998.67038128249567</v>
      </c>
      <c r="AC25" s="209"/>
      <c r="AD25" s="175">
        <v>0</v>
      </c>
      <c r="AE25" s="411"/>
      <c r="AF25" s="17">
        <v>19</v>
      </c>
      <c r="AG25" s="411"/>
      <c r="AH25" s="174">
        <v>1500</v>
      </c>
      <c r="AI25" s="411"/>
      <c r="AJ25" s="174">
        <f t="shared" si="8"/>
        <v>0</v>
      </c>
      <c r="AK25" s="411"/>
      <c r="AL25" s="18">
        <v>1</v>
      </c>
      <c r="AM25" s="192"/>
      <c r="AN25" s="203">
        <f t="shared" si="9"/>
        <v>211.2</v>
      </c>
      <c r="AO25" s="192"/>
      <c r="AP25" s="17">
        <f t="shared" si="2"/>
        <v>3626.6590162479142</v>
      </c>
      <c r="AQ25" s="293"/>
      <c r="AR25" s="204">
        <f t="shared" si="10"/>
        <v>1500.2</v>
      </c>
      <c r="AS25" s="293"/>
      <c r="AT25" s="451">
        <f>0.65*Z25</f>
        <v>986.83</v>
      </c>
      <c r="AU25" s="175"/>
      <c r="AV25" s="18">
        <f>ROUND(0.03*V25*H25*0.001,1)</f>
        <v>34.1</v>
      </c>
      <c r="AW25" s="13"/>
      <c r="AX25" s="494">
        <f t="shared" si="12"/>
        <v>0.65779896013864814</v>
      </c>
      <c r="AY25" s="446">
        <f t="shared" si="13"/>
        <v>0.31947073723503533</v>
      </c>
      <c r="AZ25" s="294">
        <f t="shared" si="14"/>
        <v>2.2730302626316493E-2</v>
      </c>
      <c r="BA25" s="446">
        <f t="shared" si="15"/>
        <v>0.33915344620717236</v>
      </c>
      <c r="BB25" s="477">
        <v>0.2</v>
      </c>
      <c r="BC25" s="477">
        <v>0.6</v>
      </c>
      <c r="BD25" s="478">
        <v>0.7</v>
      </c>
      <c r="BE25" s="446">
        <f t="shared" ref="BE25:BE32" si="22">SUMPRODUCT(AX25:AZ25,BF25:BH25)</f>
        <v>3.521693107585655</v>
      </c>
      <c r="BF25" s="477">
        <v>3.8</v>
      </c>
      <c r="BG25" s="477">
        <v>3</v>
      </c>
      <c r="BH25" s="478">
        <v>2.8</v>
      </c>
      <c r="BI25" s="514"/>
    </row>
    <row r="26" spans="1:61" x14ac:dyDescent="0.3">
      <c r="A26" s="208">
        <v>2011</v>
      </c>
      <c r="B26" s="247">
        <v>20857.544845794695</v>
      </c>
      <c r="C26" s="294">
        <v>1.1813</v>
      </c>
      <c r="D26" s="332">
        <v>2292483</v>
      </c>
      <c r="E26" s="210"/>
      <c r="F26" s="468">
        <v>27719.300000000003</v>
      </c>
      <c r="G26" s="468">
        <v>60141.100000000006</v>
      </c>
      <c r="H26" s="332">
        <v>87860.400000000009</v>
      </c>
      <c r="I26" s="469"/>
      <c r="J26" s="206">
        <f t="shared" si="4"/>
        <v>26.091999999999999</v>
      </c>
      <c r="K26" s="207"/>
      <c r="L26" s="332">
        <v>3098.9000000000015</v>
      </c>
      <c r="M26" s="469"/>
      <c r="N26" s="332">
        <v>4835.6000000000004</v>
      </c>
      <c r="O26" s="469"/>
      <c r="P26" s="479">
        <f>ROUND((P27/P25)^(1/2)*P25,3)</f>
        <v>1.3069999999999999</v>
      </c>
      <c r="Q26" s="334">
        <f>ROUND((Q27/Q25)^(1/2)*Q25,3)</f>
        <v>2.1280000000000001</v>
      </c>
      <c r="R26" s="334">
        <f>ROUND((R27/R25)^(1/2)*R25,3)</f>
        <v>11.567</v>
      </c>
      <c r="S26" s="412">
        <f>ROUND((S27/S25)^(1/2)*S25,3)</f>
        <v>10.182</v>
      </c>
      <c r="T26" s="333">
        <f t="shared" si="16"/>
        <v>2.097</v>
      </c>
      <c r="U26" s="335"/>
      <c r="V26" s="333">
        <f t="shared" si="0"/>
        <v>12.045999999999999</v>
      </c>
      <c r="W26" s="238"/>
      <c r="X26" s="203">
        <f>ROUND(0.9*N26,1)</f>
        <v>4352</v>
      </c>
      <c r="Y26" s="192"/>
      <c r="Z26" s="203">
        <f t="shared" si="1"/>
        <v>1549.5</v>
      </c>
      <c r="AA26" s="209"/>
      <c r="AB26" s="204">
        <f t="shared" si="7"/>
        <v>1007.2816519174044</v>
      </c>
      <c r="AC26" s="209"/>
      <c r="AD26" s="18">
        <v>0.76200000000000001</v>
      </c>
      <c r="AE26" s="411"/>
      <c r="AF26" s="17">
        <v>32</v>
      </c>
      <c r="AG26" s="411"/>
      <c r="AH26" s="174">
        <v>1000</v>
      </c>
      <c r="AI26" s="411"/>
      <c r="AJ26" s="174">
        <f t="shared" si="8"/>
        <v>0</v>
      </c>
      <c r="AK26" s="411"/>
      <c r="AL26" s="18">
        <v>8</v>
      </c>
      <c r="AM26" s="192"/>
      <c r="AN26" s="203">
        <f t="shared" si="9"/>
        <v>184.2</v>
      </c>
      <c r="AO26" s="192"/>
      <c r="AP26" s="17">
        <f t="shared" si="2"/>
        <v>4080.978276809632</v>
      </c>
      <c r="AQ26" s="293"/>
      <c r="AR26" s="204">
        <f t="shared" si="10"/>
        <v>1525.5</v>
      </c>
      <c r="AS26" s="293"/>
      <c r="AT26" s="408">
        <f>0.64*Z26</f>
        <v>991.68000000000006</v>
      </c>
      <c r="AU26" s="175"/>
      <c r="AV26" s="18">
        <f>ROUND(0.03*V26*H26*0.001,1)</f>
        <v>31.8</v>
      </c>
      <c r="AW26" s="13"/>
      <c r="AX26" s="494">
        <f t="shared" si="12"/>
        <v>0.6500688298918389</v>
      </c>
      <c r="AY26" s="446">
        <f t="shared" si="13"/>
        <v>0.32908554572271381</v>
      </c>
      <c r="AZ26" s="294">
        <f t="shared" si="14"/>
        <v>2.0845624385447396E-2</v>
      </c>
      <c r="BA26" s="446">
        <f t="shared" si="15"/>
        <v>0.37456047197640113</v>
      </c>
      <c r="BB26" s="477">
        <v>0.25</v>
      </c>
      <c r="BC26" s="477">
        <v>0.6</v>
      </c>
      <c r="BD26" s="478">
        <v>0.7</v>
      </c>
      <c r="BE26" s="446">
        <f t="shared" si="22"/>
        <v>3.5158859390363824</v>
      </c>
      <c r="BF26" s="477">
        <v>3.8</v>
      </c>
      <c r="BG26" s="477">
        <v>3</v>
      </c>
      <c r="BH26" s="478">
        <v>2.8</v>
      </c>
      <c r="BI26" s="514"/>
    </row>
    <row r="27" spans="1:61" x14ac:dyDescent="0.3">
      <c r="A27" s="208">
        <v>2012</v>
      </c>
      <c r="B27" s="247">
        <v>20893.601481415801</v>
      </c>
      <c r="C27" s="294">
        <v>1.2617465300000001</v>
      </c>
      <c r="D27" s="332">
        <v>2412778</v>
      </c>
      <c r="E27" s="210"/>
      <c r="F27" s="468">
        <v>28269.199999999997</v>
      </c>
      <c r="G27" s="468">
        <v>60540.099999999991</v>
      </c>
      <c r="H27" s="332">
        <v>88809.299999999988</v>
      </c>
      <c r="I27" s="469"/>
      <c r="J27" s="206">
        <f>ROUND(D27/H27,3)</f>
        <v>27.167999999999999</v>
      </c>
      <c r="K27" s="207"/>
      <c r="L27" s="332">
        <v>3160.0000000000009</v>
      </c>
      <c r="M27" s="469"/>
      <c r="N27" s="332">
        <v>4973.6000000000004</v>
      </c>
      <c r="O27" s="469"/>
      <c r="P27" s="370">
        <v>1.206</v>
      </c>
      <c r="Q27" s="371">
        <v>1.8120000000000001</v>
      </c>
      <c r="R27" s="371">
        <v>10.288</v>
      </c>
      <c r="S27" s="242">
        <v>9.52</v>
      </c>
      <c r="T27" s="239">
        <f>ROUND((1.2*P27*$F27+1.1*Q27*$G27)/$H27,3)</f>
        <v>1.819</v>
      </c>
      <c r="U27" s="240"/>
      <c r="V27" s="239">
        <f t="shared" si="0"/>
        <v>11.068</v>
      </c>
      <c r="W27" s="240"/>
      <c r="X27" s="203">
        <f t="shared" ref="X27:X32" si="23">ROUND(0.9*N27,1)</f>
        <v>4476.2</v>
      </c>
      <c r="Y27" s="192"/>
      <c r="Z27" s="203">
        <f t="shared" si="1"/>
        <v>1580</v>
      </c>
      <c r="AA27" s="209"/>
      <c r="AB27" s="204">
        <f t="shared" si="7"/>
        <v>1029.443298969072</v>
      </c>
      <c r="AC27" s="209"/>
      <c r="AD27" s="18">
        <v>7.8579999999999997</v>
      </c>
      <c r="AE27" s="411"/>
      <c r="AF27" s="174">
        <v>32</v>
      </c>
      <c r="AG27" s="411"/>
      <c r="AH27" s="174">
        <v>1400</v>
      </c>
      <c r="AI27" s="411"/>
      <c r="AJ27" s="174">
        <f t="shared" si="8"/>
        <v>0</v>
      </c>
      <c r="AK27" s="411"/>
      <c r="AL27" s="175">
        <v>4</v>
      </c>
      <c r="AM27" s="192"/>
      <c r="AN27" s="203">
        <f>ROUND(T27*H27*0.001,1)</f>
        <v>161.5</v>
      </c>
      <c r="AO27" s="192"/>
      <c r="AP27" s="17">
        <f t="shared" si="2"/>
        <v>4155.4847805326026</v>
      </c>
      <c r="AQ27" s="293"/>
      <c r="AR27" s="204">
        <f>Z27-AF27+AL27</f>
        <v>1552</v>
      </c>
      <c r="AS27" s="293"/>
      <c r="AT27" s="408">
        <f>0.64*Z27</f>
        <v>1011.2</v>
      </c>
      <c r="AU27" s="175"/>
      <c r="AV27" s="18">
        <f>ROUND(0.03*V27*H27*0.001,1)</f>
        <v>29.5</v>
      </c>
      <c r="AW27" s="13"/>
      <c r="AX27" s="494">
        <f t="shared" si="12"/>
        <v>0.65154639175257723</v>
      </c>
      <c r="AY27" s="446">
        <f t="shared" si="13"/>
        <v>0.32944587628865979</v>
      </c>
      <c r="AZ27" s="294">
        <f t="shared" si="14"/>
        <v>1.9007731958762885E-2</v>
      </c>
      <c r="BA27" s="446">
        <f t="shared" si="15"/>
        <v>0.37385953608247424</v>
      </c>
      <c r="BB27" s="477">
        <v>0.25</v>
      </c>
      <c r="BC27" s="477">
        <v>0.6</v>
      </c>
      <c r="BD27" s="478">
        <v>0.7</v>
      </c>
      <c r="BE27" s="446">
        <f t="shared" si="22"/>
        <v>3.5174355670103088</v>
      </c>
      <c r="BF27" s="477">
        <v>3.8</v>
      </c>
      <c r="BG27" s="477">
        <v>3</v>
      </c>
      <c r="BH27" s="478">
        <v>2.8</v>
      </c>
      <c r="BI27" s="514"/>
    </row>
    <row r="28" spans="1:61" s="1" customFormat="1" x14ac:dyDescent="0.3">
      <c r="A28" s="174">
        <v>2013</v>
      </c>
      <c r="B28" s="247">
        <v>21032.397092896183</v>
      </c>
      <c r="C28" s="294">
        <v>1.337956020412</v>
      </c>
      <c r="D28" s="247">
        <v>2543596</v>
      </c>
      <c r="E28" s="242"/>
      <c r="F28" s="468">
        <v>28874.9</v>
      </c>
      <c r="G28" s="468">
        <v>60884.599999999991</v>
      </c>
      <c r="H28" s="332">
        <v>89759.5</v>
      </c>
      <c r="I28" s="469"/>
      <c r="J28" s="243">
        <f>ROUND(D28/H28,3)</f>
        <v>28.338000000000001</v>
      </c>
      <c r="K28" s="241"/>
      <c r="L28" s="247">
        <v>3228.7</v>
      </c>
      <c r="M28" s="474"/>
      <c r="N28" s="247">
        <v>5191.2</v>
      </c>
      <c r="O28" s="474"/>
      <c r="P28" s="479">
        <f>ROUND((P29/P27)^(1/2)*P27,3)</f>
        <v>1.302</v>
      </c>
      <c r="Q28" s="334">
        <f>ROUND((Q29/Q27)^(1/2)*Q27,3)</f>
        <v>2.1339999999999999</v>
      </c>
      <c r="R28" s="334">
        <f>ROUND((R29/R27)^(1/2)*R27,3)</f>
        <v>12.192</v>
      </c>
      <c r="S28" s="412">
        <f>ROUND((S29/S27)^(1/2)*S27,3)</f>
        <v>11.667</v>
      </c>
      <c r="T28" s="333">
        <f t="shared" ref="T28" si="24">ROUND((1.2*P28*$F28+1.1*Q28*$G28)/$H28,3)</f>
        <v>2.0950000000000002</v>
      </c>
      <c r="U28" s="335"/>
      <c r="V28" s="333">
        <f t="shared" ref="V28" si="25">ROUND((1.2*R28*$F28+1.1*S28*$G28)/$H28,3)</f>
        <v>13.412000000000001</v>
      </c>
      <c r="W28" s="246"/>
      <c r="X28" s="203">
        <f t="shared" si="23"/>
        <v>4672.1000000000004</v>
      </c>
      <c r="Y28" s="245"/>
      <c r="Z28" s="203">
        <f t="shared" si="1"/>
        <v>1614.4</v>
      </c>
      <c r="AA28" s="244"/>
      <c r="AB28" s="204">
        <f t="shared" si="7"/>
        <v>1027.2529009009011</v>
      </c>
      <c r="AC28" s="244"/>
      <c r="AD28" s="18">
        <v>3.4710000000000001</v>
      </c>
      <c r="AE28" s="244"/>
      <c r="AF28" s="247">
        <v>22</v>
      </c>
      <c r="AG28" s="248"/>
      <c r="AH28" s="17">
        <v>1748</v>
      </c>
      <c r="AI28" s="244"/>
      <c r="AJ28" s="17">
        <f t="shared" si="8"/>
        <v>0</v>
      </c>
      <c r="AK28" s="244"/>
      <c r="AL28" s="175">
        <v>6</v>
      </c>
      <c r="AM28" s="175"/>
      <c r="AN28" s="203">
        <f t="shared" ref="AN28:AN33" si="26">ROUND(T28*H28*0.001,1)</f>
        <v>188</v>
      </c>
      <c r="AO28" s="245"/>
      <c r="AP28" s="17">
        <f t="shared" si="2"/>
        <v>4294.6494077307634</v>
      </c>
      <c r="AQ28" s="249"/>
      <c r="AR28" s="204">
        <f t="shared" ref="AR28:AR33" si="27">Z28-AF28+AL28</f>
        <v>1598.4</v>
      </c>
      <c r="AS28" s="249"/>
      <c r="AT28" s="408">
        <f>0.63*Z28</f>
        <v>1017.0720000000001</v>
      </c>
      <c r="AU28" s="245"/>
      <c r="AV28" s="18">
        <f t="shared" ref="AV28" si="28">ROUND(0.03*V28*H28*0.001,1)</f>
        <v>36.1</v>
      </c>
      <c r="AW28" s="248"/>
      <c r="AX28" s="494">
        <f t="shared" si="12"/>
        <v>0.63630630630630636</v>
      </c>
      <c r="AY28" s="446">
        <f t="shared" si="13"/>
        <v>0.34110860860860853</v>
      </c>
      <c r="AZ28" s="294">
        <f t="shared" si="14"/>
        <v>2.2585085085085086E-2</v>
      </c>
      <c r="BA28" s="446">
        <f t="shared" si="15"/>
        <v>0.37955130130130121</v>
      </c>
      <c r="BB28" s="477">
        <v>0.25</v>
      </c>
      <c r="BC28" s="477">
        <v>0.6</v>
      </c>
      <c r="BD28" s="478">
        <v>0.7</v>
      </c>
      <c r="BE28" s="446">
        <f t="shared" si="22"/>
        <v>3.5045280280280275</v>
      </c>
      <c r="BF28" s="477">
        <v>3.8</v>
      </c>
      <c r="BG28" s="477">
        <v>3</v>
      </c>
      <c r="BH28" s="478">
        <v>2.8</v>
      </c>
      <c r="BI28" s="514"/>
    </row>
    <row r="29" spans="1:61" s="288" customFormat="1" x14ac:dyDescent="0.3">
      <c r="A29" s="461">
        <v>2014</v>
      </c>
      <c r="B29" s="247">
        <v>21300</v>
      </c>
      <c r="C29" s="294">
        <v>1.3625744111875806</v>
      </c>
      <c r="D29" s="332">
        <v>2695796</v>
      </c>
      <c r="E29" s="462"/>
      <c r="F29" s="468">
        <v>30035.399999999994</v>
      </c>
      <c r="G29" s="468">
        <v>60693.500000000007</v>
      </c>
      <c r="H29" s="332">
        <v>90728.9</v>
      </c>
      <c r="I29" s="469"/>
      <c r="J29" s="206">
        <f>ROUND(D29/H29,3)</f>
        <v>29.713000000000001</v>
      </c>
      <c r="K29" s="207"/>
      <c r="L29" s="332">
        <v>3351.2</v>
      </c>
      <c r="M29" s="469"/>
      <c r="N29" s="332">
        <v>5202.3</v>
      </c>
      <c r="O29" s="469"/>
      <c r="P29" s="370">
        <v>1.405</v>
      </c>
      <c r="Q29" s="371">
        <v>2.5139999999999998</v>
      </c>
      <c r="R29" s="477">
        <v>14.448</v>
      </c>
      <c r="S29" s="478">
        <v>14.298999999999999</v>
      </c>
      <c r="T29" s="239">
        <f>ROUND((1.2*P29*$F29+1.1*Q29*$G29)/$H29,3)</f>
        <v>2.4079999999999999</v>
      </c>
      <c r="U29" s="240"/>
      <c r="V29" s="239">
        <f t="shared" ref="V29:V30" si="29">ROUND((1.2*R29*$F29+1.1*S29*$G29)/$H29,3)</f>
        <v>16.260999999999999</v>
      </c>
      <c r="W29" s="238"/>
      <c r="X29" s="203">
        <f t="shared" si="23"/>
        <v>4682.1000000000004</v>
      </c>
      <c r="Y29" s="192"/>
      <c r="Z29" s="203">
        <f t="shared" si="1"/>
        <v>1675.6</v>
      </c>
      <c r="AA29" s="209"/>
      <c r="AB29" s="204">
        <f t="shared" si="7"/>
        <v>1066.4477733027854</v>
      </c>
      <c r="AC29" s="209"/>
      <c r="AD29" s="18">
        <v>52.482999999999997</v>
      </c>
      <c r="AE29" s="411"/>
      <c r="AF29" s="17">
        <v>21</v>
      </c>
      <c r="AG29" s="411"/>
      <c r="AH29" s="174">
        <v>4619</v>
      </c>
      <c r="AI29" s="411"/>
      <c r="AJ29" s="17">
        <f t="shared" si="8"/>
        <v>5.4640721450768979</v>
      </c>
      <c r="AK29" s="411"/>
      <c r="AL29" s="18">
        <v>4</v>
      </c>
      <c r="AM29" s="192"/>
      <c r="AN29" s="203">
        <f t="shared" si="26"/>
        <v>218.5</v>
      </c>
      <c r="AO29" s="192"/>
      <c r="AP29" s="17">
        <f t="shared" si="2"/>
        <v>4469.0640721450773</v>
      </c>
      <c r="AQ29" s="293"/>
      <c r="AR29" s="204">
        <f t="shared" si="27"/>
        <v>1658.6</v>
      </c>
      <c r="AS29" s="293"/>
      <c r="AT29" s="451">
        <f>0.63*Z29</f>
        <v>1055.6279999999999</v>
      </c>
      <c r="AU29" s="18"/>
      <c r="AV29" s="18">
        <f>ROUND(0.04*V29*H29*0.001,1)</f>
        <v>59</v>
      </c>
      <c r="AW29" s="13"/>
      <c r="AX29" s="494">
        <f t="shared" si="12"/>
        <v>0.63645725310502832</v>
      </c>
      <c r="AY29" s="446">
        <f t="shared" si="13"/>
        <v>0.32797057759556253</v>
      </c>
      <c r="AZ29" s="294">
        <f t="shared" si="14"/>
        <v>3.5572169299409144E-2</v>
      </c>
      <c r="BA29" s="446">
        <f t="shared" si="15"/>
        <v>0.380797178343181</v>
      </c>
      <c r="BB29" s="477">
        <v>0.25</v>
      </c>
      <c r="BC29" s="477">
        <v>0.6</v>
      </c>
      <c r="BD29" s="478">
        <v>0.7</v>
      </c>
      <c r="BE29" s="446">
        <f t="shared" si="22"/>
        <v>3.5020513686241403</v>
      </c>
      <c r="BF29" s="477">
        <v>3.8</v>
      </c>
      <c r="BG29" s="477">
        <v>3</v>
      </c>
      <c r="BH29" s="478">
        <v>2.8</v>
      </c>
      <c r="BI29" s="514"/>
    </row>
    <row r="30" spans="1:61" s="288" customFormat="1" x14ac:dyDescent="0.3">
      <c r="A30" s="174">
        <v>2015</v>
      </c>
      <c r="B30" s="247">
        <f>($B$33/$B$29)^(1/4)*B29</f>
        <v>21712.841474121753</v>
      </c>
      <c r="C30" s="294">
        <v>1.3707498576547061</v>
      </c>
      <c r="D30" s="332">
        <v>2875856</v>
      </c>
      <c r="E30" s="210"/>
      <c r="F30" s="468">
        <v>31067.5</v>
      </c>
      <c r="G30" s="468">
        <v>60642.299999999996</v>
      </c>
      <c r="H30" s="332">
        <v>91709.799999999988</v>
      </c>
      <c r="I30" s="469"/>
      <c r="J30" s="206">
        <f t="shared" ref="J30:J33" si="30">ROUND(D30/H30,3)</f>
        <v>31.358000000000001</v>
      </c>
      <c r="K30" s="207"/>
      <c r="L30" s="332">
        <v>3491.599999999999</v>
      </c>
      <c r="M30" s="469"/>
      <c r="N30" s="332">
        <v>5287.2</v>
      </c>
      <c r="O30" s="469"/>
      <c r="P30" s="479">
        <f>ROUND((P31/P29)^(1/2)*P29,3)</f>
        <v>1.4470000000000001</v>
      </c>
      <c r="Q30" s="334">
        <f>ROUND((Q31/Q29)^(1/2)*Q29,3)</f>
        <v>2.4969999999999999</v>
      </c>
      <c r="R30" s="334">
        <f>ROUND((R31/R29)^(1/2)*R29,3)</f>
        <v>15.234</v>
      </c>
      <c r="S30" s="412">
        <f>ROUND((S31/S29)^(1/2)*S29,3)</f>
        <v>15.122999999999999</v>
      </c>
      <c r="T30" s="333">
        <f>ROUND((1.2*P30*$F30+1.1*Q30*$G30)/$H30,3)</f>
        <v>2.4039999999999999</v>
      </c>
      <c r="U30" s="335"/>
      <c r="V30" s="333">
        <f t="shared" si="29"/>
        <v>17.193000000000001</v>
      </c>
      <c r="W30" s="240"/>
      <c r="X30" s="203">
        <f t="shared" si="23"/>
        <v>4758.5</v>
      </c>
      <c r="Y30" s="192"/>
      <c r="Z30" s="203">
        <f t="shared" si="1"/>
        <v>1745.8</v>
      </c>
      <c r="AA30" s="209"/>
      <c r="AB30" s="204">
        <f>AX30*Z30</f>
        <v>972.44442626754847</v>
      </c>
      <c r="AC30" s="209"/>
      <c r="AD30" s="18">
        <v>6.8680000000000003</v>
      </c>
      <c r="AE30" s="411"/>
      <c r="AF30" s="17">
        <v>30</v>
      </c>
      <c r="AG30" s="411"/>
      <c r="AH30" s="261">
        <f>(AH$33/AH$29)^(1/4)*AH29</f>
        <v>5369.7029634322225</v>
      </c>
      <c r="AI30" s="411"/>
      <c r="AJ30" s="247">
        <f t="shared" si="8"/>
        <v>368.54922894112769</v>
      </c>
      <c r="AK30" s="411"/>
      <c r="AL30" s="18">
        <v>8</v>
      </c>
      <c r="AM30" s="192"/>
      <c r="AN30" s="203">
        <f t="shared" si="26"/>
        <v>220.5</v>
      </c>
      <c r="AO30" s="192"/>
      <c r="AP30" s="17">
        <f t="shared" si="2"/>
        <v>4906.5492289411277</v>
      </c>
      <c r="AQ30" s="293"/>
      <c r="AR30" s="204">
        <f t="shared" si="27"/>
        <v>1723.8</v>
      </c>
      <c r="AS30" s="293"/>
      <c r="AT30" s="408">
        <f>0.55*Z30</f>
        <v>960.19</v>
      </c>
      <c r="AU30" s="175"/>
      <c r="AV30" s="18">
        <f>ROUND(0.04*V30*H30*0.001,1)</f>
        <v>63.1</v>
      </c>
      <c r="AW30" s="13"/>
      <c r="AX30" s="494">
        <f t="shared" si="12"/>
        <v>0.55701937579765637</v>
      </c>
      <c r="AY30" s="446">
        <f t="shared" si="13"/>
        <v>0.40637544958811922</v>
      </c>
      <c r="AZ30" s="294">
        <f t="shared" si="14"/>
        <v>3.6605174614224391E-2</v>
      </c>
      <c r="BA30" s="446">
        <f t="shared" si="15"/>
        <v>0.40870373593224268</v>
      </c>
      <c r="BB30" s="477">
        <v>0.25</v>
      </c>
      <c r="BC30" s="477">
        <v>0.6</v>
      </c>
      <c r="BD30" s="478">
        <v>0.7</v>
      </c>
      <c r="BE30" s="446">
        <f t="shared" si="22"/>
        <v>3.4382944657152801</v>
      </c>
      <c r="BF30" s="477">
        <v>3.8</v>
      </c>
      <c r="BG30" s="477">
        <v>3</v>
      </c>
      <c r="BH30" s="478">
        <v>2.8</v>
      </c>
      <c r="BI30" s="514"/>
    </row>
    <row r="31" spans="1:61" s="288" customFormat="1" x14ac:dyDescent="0.3">
      <c r="A31" s="208">
        <v>2016</v>
      </c>
      <c r="B31" s="247">
        <f>($B$33/$B$29)^(1/4)*B30</f>
        <v>22133.684736166277</v>
      </c>
      <c r="C31" s="294">
        <v>1.435723400907539</v>
      </c>
      <c r="D31" s="332">
        <v>3054470</v>
      </c>
      <c r="E31" s="210"/>
      <c r="F31" s="468">
        <v>31926.300000000003</v>
      </c>
      <c r="G31" s="468">
        <v>60765.899999999994</v>
      </c>
      <c r="H31" s="332">
        <v>92692.2</v>
      </c>
      <c r="I31" s="469"/>
      <c r="J31" s="206">
        <f t="shared" si="30"/>
        <v>32.953000000000003</v>
      </c>
      <c r="K31" s="207"/>
      <c r="L31" s="332">
        <v>3664.6000000000004</v>
      </c>
      <c r="M31" s="469"/>
      <c r="N31" s="332">
        <v>5246.5</v>
      </c>
      <c r="O31" s="469"/>
      <c r="P31" s="370">
        <v>1.4910000000000001</v>
      </c>
      <c r="Q31" s="371">
        <v>2.4809999999999999</v>
      </c>
      <c r="R31" s="477">
        <v>16.062999999999999</v>
      </c>
      <c r="S31" s="478">
        <v>15.994</v>
      </c>
      <c r="T31" s="239">
        <f>ROUND((1.2*P31*$F31+1.1*Q31*$G31)/$H31,3)</f>
        <v>2.4049999999999998</v>
      </c>
      <c r="U31" s="240"/>
      <c r="V31" s="239">
        <f t="shared" ref="V31:V32" si="31">ROUND((1.2*R31*$F31+1.1*S31*$G31)/$H31,3)</f>
        <v>18.172999999999998</v>
      </c>
      <c r="W31" s="238"/>
      <c r="X31" s="203">
        <f t="shared" si="23"/>
        <v>4721.8999999999996</v>
      </c>
      <c r="Y31" s="192"/>
      <c r="Z31" s="203">
        <f t="shared" si="1"/>
        <v>1832.3</v>
      </c>
      <c r="AA31" s="209"/>
      <c r="AB31" s="204">
        <f t="shared" si="7"/>
        <v>916.15</v>
      </c>
      <c r="AC31" s="209"/>
      <c r="AD31" s="18">
        <v>26.908999999999999</v>
      </c>
      <c r="AE31" s="411"/>
      <c r="AF31" s="17">
        <v>35</v>
      </c>
      <c r="AG31" s="411"/>
      <c r="AH31" s="261">
        <f t="shared" ref="AH31" si="32">(AH$33/AH$29)^(1/4)*AH30</f>
        <v>6242.4139241162138</v>
      </c>
      <c r="AI31" s="411"/>
      <c r="AJ31" s="247">
        <f t="shared" si="8"/>
        <v>835.41082375417136</v>
      </c>
      <c r="AK31" s="411"/>
      <c r="AL31" s="18">
        <v>10</v>
      </c>
      <c r="AM31" s="192"/>
      <c r="AN31" s="203">
        <f t="shared" si="26"/>
        <v>222.9</v>
      </c>
      <c r="AO31" s="192"/>
      <c r="AP31" s="17">
        <f t="shared" si="2"/>
        <v>5334.4108237541714</v>
      </c>
      <c r="AQ31" s="293"/>
      <c r="AR31" s="204">
        <f t="shared" si="27"/>
        <v>1807.3</v>
      </c>
      <c r="AS31" s="293"/>
      <c r="AT31" s="408">
        <f>0.5*AR31</f>
        <v>903.65</v>
      </c>
      <c r="AU31" s="175"/>
      <c r="AV31" s="18">
        <f>ROUND(0.045*V31*H31*0.001,1)</f>
        <v>75.8</v>
      </c>
      <c r="AW31" s="13"/>
      <c r="AX31" s="494">
        <f t="shared" si="12"/>
        <v>0.5</v>
      </c>
      <c r="AY31" s="446">
        <f t="shared" si="13"/>
        <v>0.45805898301333481</v>
      </c>
      <c r="AZ31" s="294">
        <f t="shared" si="14"/>
        <v>4.1941016986665192E-2</v>
      </c>
      <c r="BA31" s="446">
        <f t="shared" ref="BA31:BA44" si="33">SUMPRODUCT(AX31:AZ31,BB31:BD31)</f>
        <v>0.42919410169866651</v>
      </c>
      <c r="BB31" s="477">
        <v>0.25</v>
      </c>
      <c r="BC31" s="477">
        <v>0.6</v>
      </c>
      <c r="BD31" s="478">
        <v>0.7</v>
      </c>
      <c r="BE31" s="446">
        <f t="shared" si="22"/>
        <v>3.3916117966026671</v>
      </c>
      <c r="BF31" s="477">
        <v>3.8</v>
      </c>
      <c r="BG31" s="477">
        <v>3</v>
      </c>
      <c r="BH31" s="478">
        <v>2.8</v>
      </c>
      <c r="BI31" s="514"/>
    </row>
    <row r="32" spans="1:61" s="288" customFormat="1" x14ac:dyDescent="0.3">
      <c r="A32" s="174">
        <v>2017</v>
      </c>
      <c r="B32" s="247">
        <f>($B$33/$B$29)^(1/4)*B31</f>
        <v>22562.684878618154</v>
      </c>
      <c r="C32" s="294">
        <v>1.4730522093311351</v>
      </c>
      <c r="D32" s="332">
        <v>3262548</v>
      </c>
      <c r="E32" s="210"/>
      <c r="F32" s="468">
        <v>32823.1</v>
      </c>
      <c r="G32" s="468">
        <v>60854.5</v>
      </c>
      <c r="H32" s="332">
        <v>93677.6</v>
      </c>
      <c r="I32" s="469"/>
      <c r="J32" s="206">
        <f t="shared" si="30"/>
        <v>34.826999999999998</v>
      </c>
      <c r="K32" s="207"/>
      <c r="L32" s="332">
        <v>3733.3000000000006</v>
      </c>
      <c r="M32" s="469"/>
      <c r="N32" s="332">
        <v>5109.5999999999995</v>
      </c>
      <c r="O32" s="469"/>
      <c r="P32" s="479">
        <f>ROUND((P33/P31)^(1/2)*P31,3)</f>
        <v>1.51</v>
      </c>
      <c r="Q32" s="334">
        <f>ROUND((Q33/Q31)^(1/2)*Q31,3)</f>
        <v>2.39</v>
      </c>
      <c r="R32" s="334">
        <f>ROUND((R33/R31)^(1/2)*R31,3)</f>
        <v>16.047999999999998</v>
      </c>
      <c r="S32" s="412">
        <f>ROUND((S33/S31)^(1/2)*S31,3)</f>
        <v>16.350000000000001</v>
      </c>
      <c r="T32" s="333">
        <f t="shared" ref="T32" si="34">ROUND((1.2*P32*$F32+1.1*Q32*$G32)/$H32,3)</f>
        <v>2.343</v>
      </c>
      <c r="U32" s="335"/>
      <c r="V32" s="333">
        <f t="shared" si="31"/>
        <v>18.431000000000001</v>
      </c>
      <c r="W32" s="240"/>
      <c r="X32" s="203">
        <f t="shared" si="23"/>
        <v>4598.6000000000004</v>
      </c>
      <c r="Y32" s="192"/>
      <c r="Z32" s="332">
        <f t="shared" ref="Z32" si="35">ROUND(0.5*L32,1)</f>
        <v>1866.7</v>
      </c>
      <c r="AA32" s="482"/>
      <c r="AB32" s="468">
        <f t="shared" si="7"/>
        <v>821.34800000000018</v>
      </c>
      <c r="AC32" s="482"/>
      <c r="AD32" s="483">
        <v>49.976999999999997</v>
      </c>
      <c r="AE32" s="484"/>
      <c r="AF32" s="247">
        <v>40</v>
      </c>
      <c r="AG32" s="484"/>
      <c r="AH32" s="488">
        <v>7738.3870000000006</v>
      </c>
      <c r="AI32" s="484"/>
      <c r="AJ32" s="247">
        <f t="shared" si="8"/>
        <v>1240.9138373689884</v>
      </c>
      <c r="AK32" s="484"/>
      <c r="AL32" s="483">
        <v>8</v>
      </c>
      <c r="AM32" s="192"/>
      <c r="AN32" s="203">
        <f t="shared" si="26"/>
        <v>219.5</v>
      </c>
      <c r="AO32" s="192"/>
      <c r="AP32" s="17">
        <f t="shared" si="2"/>
        <v>5620.0138373689888</v>
      </c>
      <c r="AQ32" s="293"/>
      <c r="AR32" s="204">
        <f t="shared" si="27"/>
        <v>1834.7</v>
      </c>
      <c r="AS32" s="293"/>
      <c r="AT32" s="408">
        <f>0.44*AR32</f>
        <v>807.26800000000003</v>
      </c>
      <c r="AU32" s="175"/>
      <c r="AV32" s="18">
        <f>ROUND(0.045*V32*H32*0.001,1)</f>
        <v>77.7</v>
      </c>
      <c r="AW32" s="13"/>
      <c r="AX32" s="494">
        <f t="shared" si="12"/>
        <v>0.44000000000000006</v>
      </c>
      <c r="AY32" s="446">
        <f t="shared" si="13"/>
        <v>0.51764975200305219</v>
      </c>
      <c r="AZ32" s="294">
        <f t="shared" si="14"/>
        <v>4.2350247996947733E-2</v>
      </c>
      <c r="BA32" s="446">
        <f t="shared" si="33"/>
        <v>0.45023502479969474</v>
      </c>
      <c r="BB32" s="477">
        <v>0.25</v>
      </c>
      <c r="BC32" s="477">
        <v>0.6</v>
      </c>
      <c r="BD32" s="478">
        <v>0.7</v>
      </c>
      <c r="BE32" s="446">
        <f t="shared" si="22"/>
        <v>3.3435299504006104</v>
      </c>
      <c r="BF32" s="477">
        <v>3.8</v>
      </c>
      <c r="BG32" s="477">
        <v>3</v>
      </c>
      <c r="BH32" s="478">
        <v>2.8</v>
      </c>
      <c r="BI32" s="514"/>
    </row>
    <row r="33" spans="1:62" s="1" customFormat="1" ht="16.2" thickBot="1" x14ac:dyDescent="0.35">
      <c r="A33" s="258">
        <v>2018</v>
      </c>
      <c r="B33" s="463">
        <v>23000</v>
      </c>
      <c r="C33" s="389">
        <v>1.5169491651692031</v>
      </c>
      <c r="D33" s="463">
        <v>3493399</v>
      </c>
      <c r="E33" s="473">
        <f>D33</f>
        <v>3493399</v>
      </c>
      <c r="F33" s="468">
        <v>33830</v>
      </c>
      <c r="G33" s="468">
        <v>60836</v>
      </c>
      <c r="H33" s="471">
        <v>94666</v>
      </c>
      <c r="I33" s="472">
        <f>H33</f>
        <v>94666</v>
      </c>
      <c r="J33" s="260">
        <f t="shared" si="30"/>
        <v>36.902000000000001</v>
      </c>
      <c r="K33" s="390">
        <f>J33</f>
        <v>36.902000000000001</v>
      </c>
      <c r="L33" s="463">
        <v>3816.3999999999992</v>
      </c>
      <c r="M33" s="473">
        <f>L33</f>
        <v>3816.3999999999992</v>
      </c>
      <c r="N33" s="710">
        <v>4877.3999999999996</v>
      </c>
      <c r="O33" s="473">
        <f>N33</f>
        <v>4877.3999999999996</v>
      </c>
      <c r="P33" s="372">
        <v>1.53</v>
      </c>
      <c r="Q33" s="373">
        <v>2.302</v>
      </c>
      <c r="R33" s="475">
        <v>16.033999999999999</v>
      </c>
      <c r="S33" s="476">
        <v>16.713000000000001</v>
      </c>
      <c r="T33" s="480">
        <f>ROUND((1.2*P33*$F33+1.1*Q33*$G33)/$H33,3)</f>
        <v>2.2829999999999999</v>
      </c>
      <c r="U33" s="481">
        <f>T33</f>
        <v>2.2829999999999999</v>
      </c>
      <c r="V33" s="480">
        <f>ROUND((1.2*R33*$F33+1.1*S33*$G33)/$H33,3)</f>
        <v>18.690000000000001</v>
      </c>
      <c r="W33" s="476">
        <f>V33</f>
        <v>18.690000000000001</v>
      </c>
      <c r="X33" s="259">
        <f>ROUND(0.9*N33,1)</f>
        <v>4389.7</v>
      </c>
      <c r="Y33" s="449">
        <f>X33</f>
        <v>4389.7</v>
      </c>
      <c r="Z33" s="471">
        <f>ROUND(0.5*L33,1)</f>
        <v>1908.2</v>
      </c>
      <c r="AA33" s="473">
        <f>Z33</f>
        <v>1908.2</v>
      </c>
      <c r="AB33" s="470">
        <f t="shared" si="7"/>
        <v>753.17332797144718</v>
      </c>
      <c r="AC33" s="473">
        <f>AB33</f>
        <v>753.17332797144718</v>
      </c>
      <c r="AD33" s="485">
        <v>0</v>
      </c>
      <c r="AE33" s="473">
        <f>AD33</f>
        <v>0</v>
      </c>
      <c r="AF33" s="486">
        <f>14.3</f>
        <v>14.3</v>
      </c>
      <c r="AG33" s="487">
        <f>AF33</f>
        <v>14.3</v>
      </c>
      <c r="AH33" s="463">
        <v>8436.4</v>
      </c>
      <c r="AI33" s="473">
        <f>AH33</f>
        <v>8436.4</v>
      </c>
      <c r="AJ33" s="463">
        <f t="shared" si="8"/>
        <v>1966.2662991896195</v>
      </c>
      <c r="AK33" s="473">
        <f>AJ33</f>
        <v>1966.2662991896195</v>
      </c>
      <c r="AL33" s="485">
        <v>12.7</v>
      </c>
      <c r="AM33" s="180"/>
      <c r="AN33" s="259">
        <f t="shared" si="26"/>
        <v>216.1</v>
      </c>
      <c r="AO33" s="449">
        <f>AN33</f>
        <v>216.1</v>
      </c>
      <c r="AP33" s="24">
        <f t="shared" si="2"/>
        <v>6139.866299189619</v>
      </c>
      <c r="AQ33" s="79">
        <f>AP33</f>
        <v>6139.866299189619</v>
      </c>
      <c r="AR33" s="450">
        <f t="shared" si="27"/>
        <v>1906.6000000000001</v>
      </c>
      <c r="AS33" s="79">
        <f>AR33</f>
        <v>1906.6000000000001</v>
      </c>
      <c r="AT33" s="409">
        <f>0.39*AR33</f>
        <v>743.57400000000007</v>
      </c>
      <c r="AU33" s="410">
        <f>AT33</f>
        <v>743.57400000000007</v>
      </c>
      <c r="AV33" s="25">
        <f>ROUND(0.05*V33*H33*0.001,1)</f>
        <v>88.5</v>
      </c>
      <c r="AW33" s="533">
        <f>AV33</f>
        <v>88.5</v>
      </c>
      <c r="AX33" s="495">
        <f>'Baseline Projection (Backup)'!D6/'Baseline Projection (Backup)'!$G6</f>
        <v>0.39470355726414796</v>
      </c>
      <c r="AY33" s="448">
        <f>'Baseline Projection (Backup)'!E6/'Baseline Projection (Backup)'!$G6</f>
        <v>0.55416718104595653</v>
      </c>
      <c r="AZ33" s="389">
        <f>'Baseline Projection (Backup)'!F6/'Baseline Projection (Backup)'!$G6</f>
        <v>5.1129261689895657E-2</v>
      </c>
      <c r="BA33" s="448">
        <f t="shared" si="33"/>
        <v>0.48670185898974522</v>
      </c>
      <c r="BB33" s="475">
        <v>0.3</v>
      </c>
      <c r="BC33" s="475">
        <v>0.6</v>
      </c>
      <c r="BD33" s="476">
        <v>0.7</v>
      </c>
      <c r="BE33" s="448">
        <f>SUMPRODUCT(AX33:AZ33,BF33:BH33)</f>
        <v>3.3055369934733396</v>
      </c>
      <c r="BF33" s="475">
        <v>3.8</v>
      </c>
      <c r="BG33" s="475">
        <v>3</v>
      </c>
      <c r="BH33" s="476">
        <v>2.8</v>
      </c>
      <c r="BI33" s="514"/>
    </row>
    <row r="34" spans="1:62" x14ac:dyDescent="0.3">
      <c r="A34" s="634">
        <v>2019</v>
      </c>
      <c r="B34" s="635">
        <f>ROUND((1+B$47)*B33,0)</f>
        <v>23460</v>
      </c>
      <c r="C34" s="636">
        <f>1.03*C33</f>
        <v>1.5624576401242791</v>
      </c>
      <c r="D34" s="601"/>
      <c r="E34" s="605">
        <f>ROUND((1+0.06)*E33,0)</f>
        <v>3703003</v>
      </c>
      <c r="F34" s="637">
        <f>F33*(F$45/F$33)^(1/12)</f>
        <v>34753.123478163914</v>
      </c>
      <c r="G34" s="638">
        <f>G33*(G$45/G$33)^(1/12)</f>
        <v>60914.794603021408</v>
      </c>
      <c r="H34" s="639"/>
      <c r="I34" s="638">
        <f>G34+F34</f>
        <v>95667.918081185315</v>
      </c>
      <c r="J34" s="601"/>
      <c r="K34" s="602">
        <f>E34/I34</f>
        <v>38.706842108318618</v>
      </c>
      <c r="L34" s="603"/>
      <c r="M34" s="604">
        <f>'TABLE OUTPUTS'!E35/0.5</f>
        <v>3291.1532925966899</v>
      </c>
      <c r="N34" s="451"/>
      <c r="O34" s="604">
        <f>'TABLE OUTPUTS'!F35/0.9</f>
        <v>4848.0393855756838</v>
      </c>
      <c r="P34" s="451"/>
      <c r="Q34" s="605"/>
      <c r="R34" s="605"/>
      <c r="S34" s="605"/>
      <c r="T34" s="451"/>
      <c r="U34" s="606">
        <f>'TABLE OUTPUTS'!AF35</f>
        <v>2.5993116790111812</v>
      </c>
      <c r="V34" s="451"/>
      <c r="W34" s="607">
        <f>'TABLE OUTPUTS'!AE35</f>
        <v>17.186017534021559</v>
      </c>
      <c r="X34" s="608"/>
      <c r="Y34" s="604">
        <f>'TABLE OUTPUTS'!F35</f>
        <v>4363.2354470181153</v>
      </c>
      <c r="Z34" s="609"/>
      <c r="AA34" s="604">
        <f>'TABLE OUTPUTS'!E35</f>
        <v>1645.5766462983449</v>
      </c>
      <c r="AB34" s="451"/>
      <c r="AC34" s="604">
        <f>'TABLE OUTPUTS'!B35</f>
        <v>561.42673280612155</v>
      </c>
      <c r="AD34" s="609"/>
      <c r="AE34" s="604">
        <f>'TABLE OUTPUTS'!S35</f>
        <v>0</v>
      </c>
      <c r="AF34" s="609"/>
      <c r="AG34" s="606">
        <f>'TABLE OUTPUTS'!R35</f>
        <v>2.1000000000000001E-2</v>
      </c>
      <c r="AH34" s="609"/>
      <c r="AI34" s="604">
        <f>'TABLE OUTPUTS'!X35</f>
        <v>8272.0902019642763</v>
      </c>
      <c r="AJ34" s="609"/>
      <c r="AK34" s="604">
        <f>AQ34-(Y34-AO34)</f>
        <v>1102.7198096041266</v>
      </c>
      <c r="AL34" s="610"/>
      <c r="AM34" s="610"/>
      <c r="AN34" s="611"/>
      <c r="AO34" s="612">
        <f>'TABLE OUTPUTS'!K35</f>
        <v>248.88643264583166</v>
      </c>
      <c r="AP34" s="640"/>
      <c r="AQ34" s="600">
        <f>'TABLE OUTPUTS'!M35</f>
        <v>5217.0688239764104</v>
      </c>
      <c r="AR34" s="597"/>
      <c r="AS34" s="600">
        <f>'TABLE OUTPUTS'!J35</f>
        <v>1645.5766462983447</v>
      </c>
      <c r="AT34" s="610"/>
      <c r="AU34" s="612">
        <f>'TABLE OUTPUTS'!G35</f>
        <v>561.42673280612155</v>
      </c>
      <c r="AV34" s="613"/>
      <c r="AW34" s="604">
        <f>'TABLE OUTPUTS'!I35</f>
        <v>106.48807689515343</v>
      </c>
      <c r="AX34" s="494">
        <f>'Baseline Projection (Backup)'!D7/'Baseline Projection (Backup)'!$G7</f>
        <v>0.3932204171908692</v>
      </c>
      <c r="AY34" s="446">
        <f>'Baseline Projection (Backup)'!E7/'Baseline Projection (Backup)'!$G7</f>
        <v>0.55566365803223139</v>
      </c>
      <c r="AZ34" s="294">
        <f>'Baseline Projection (Backup)'!F7/'Baseline Projection (Backup)'!$G7</f>
        <v>5.1115924776899448E-2</v>
      </c>
      <c r="BA34" s="446">
        <f t="shared" si="33"/>
        <v>0.48714546732042913</v>
      </c>
      <c r="BB34" s="477">
        <v>0.3</v>
      </c>
      <c r="BC34" s="477">
        <v>0.6</v>
      </c>
      <c r="BD34" s="478">
        <v>0.7</v>
      </c>
      <c r="BE34" s="491">
        <f>SUMPRODUCT(AX34:AZ34,BF34:BH34)</f>
        <v>3.3043531487973157</v>
      </c>
      <c r="BF34" s="492">
        <v>3.8</v>
      </c>
      <c r="BG34" s="492">
        <v>3</v>
      </c>
      <c r="BH34" s="493">
        <v>2.8</v>
      </c>
      <c r="BI34" s="514"/>
      <c r="BJ34" s="514"/>
    </row>
    <row r="35" spans="1:62" x14ac:dyDescent="0.3">
      <c r="A35" s="641">
        <v>2020</v>
      </c>
      <c r="B35" s="611">
        <f t="shared" ref="B35:B42" si="36">ROUND((1+B$47)*B34,0)</f>
        <v>23929</v>
      </c>
      <c r="C35" s="602">
        <f>1.03*C34</f>
        <v>1.6093313693280076</v>
      </c>
      <c r="D35" s="601"/>
      <c r="E35" s="605">
        <f>ROUND((1+0.06)*E34,0)</f>
        <v>3925183</v>
      </c>
      <c r="F35" s="451">
        <f t="shared" ref="F35:F44" si="37">F34*(F$45/F$33)^(1/12)</f>
        <v>35701.436343142414</v>
      </c>
      <c r="G35" s="598">
        <f t="shared" ref="G35:G44" si="38">G34*(G$45/G$33)^(1/12)</f>
        <v>60993.691260574102</v>
      </c>
      <c r="H35" s="642"/>
      <c r="I35" s="598">
        <f t="shared" ref="I35:I45" si="39">G35+F35</f>
        <v>96695.127603716508</v>
      </c>
      <c r="J35" s="601"/>
      <c r="K35" s="602">
        <f t="shared" ref="K35:K43" si="40">E35/I35</f>
        <v>40.593389731967576</v>
      </c>
      <c r="L35" s="603"/>
      <c r="M35" s="604">
        <f>'TABLE OUTPUTS'!E36/0.5</f>
        <v>3496.6338263241264</v>
      </c>
      <c r="N35" s="451"/>
      <c r="O35" s="604">
        <f>'TABLE OUTPUTS'!F36/0.9</f>
        <v>5003.5656462889283</v>
      </c>
      <c r="P35" s="451"/>
      <c r="Q35" s="605"/>
      <c r="R35" s="605"/>
      <c r="S35" s="605"/>
      <c r="T35" s="451"/>
      <c r="U35" s="606">
        <f>'TABLE OUTPUTS'!AF36</f>
        <v>2.6821452083816446</v>
      </c>
      <c r="V35" s="451"/>
      <c r="W35" s="607">
        <f>'TABLE OUTPUTS'!AE36</f>
        <v>18.052117725990676</v>
      </c>
      <c r="X35" s="608"/>
      <c r="Y35" s="604">
        <f>'TABLE OUTPUTS'!F36</f>
        <v>4503.2090816600357</v>
      </c>
      <c r="Z35" s="609"/>
      <c r="AA35" s="604">
        <f>'TABLE OUTPUTS'!E36</f>
        <v>1748.3169131620632</v>
      </c>
      <c r="AB35" s="451"/>
      <c r="AC35" s="604">
        <f>'TABLE OUTPUTS'!B36</f>
        <v>597.57316580963334</v>
      </c>
      <c r="AD35" s="609"/>
      <c r="AE35" s="604">
        <f>'TABLE OUTPUTS'!S36</f>
        <v>0</v>
      </c>
      <c r="AF35" s="609"/>
      <c r="AG35" s="606">
        <f>'TABLE OUTPUTS'!R36</f>
        <v>2.1000000000000001E-2</v>
      </c>
      <c r="AH35" s="609"/>
      <c r="AI35" s="604">
        <f>'TABLE OUTPUTS'!X36</f>
        <v>8984.4345756251732</v>
      </c>
      <c r="AJ35" s="609"/>
      <c r="AK35" s="604">
        <f t="shared" ref="AK35:AK45" si="41">AQ35-(Y35-AO35)</f>
        <v>1295.9469270166719</v>
      </c>
      <c r="AL35" s="610"/>
      <c r="AM35" s="610"/>
      <c r="AN35" s="611"/>
      <c r="AO35" s="612">
        <f>'TABLE OUTPUTS'!K36</f>
        <v>259.76120378490805</v>
      </c>
      <c r="AP35" s="640"/>
      <c r="AQ35" s="600">
        <f>'TABLE OUTPUTS'!M36</f>
        <v>5539.3948048917991</v>
      </c>
      <c r="AR35" s="597"/>
      <c r="AS35" s="600">
        <f>'TABLE OUTPUTS'!J36</f>
        <v>1748.316913162063</v>
      </c>
      <c r="AT35" s="610"/>
      <c r="AU35" s="612">
        <f>'TABLE OUTPUTS'!G36</f>
        <v>597.57316580963322</v>
      </c>
      <c r="AV35" s="613"/>
      <c r="AW35" s="604">
        <f>'TABLE OUTPUTS'!I36</f>
        <v>107.03280117839869</v>
      </c>
      <c r="AX35" s="494">
        <f>'Baseline Projection (Backup)'!D8/'Baseline Projection (Backup)'!$G8</f>
        <v>0.39019574675628982</v>
      </c>
      <c r="AY35" s="446">
        <f>'Baseline Projection (Backup)'!E8/'Baseline Projection (Backup)'!$G8</f>
        <v>0.55796874498262417</v>
      </c>
      <c r="AZ35" s="294">
        <f>'Baseline Projection (Backup)'!F8/'Baseline Projection (Backup)'!$G8</f>
        <v>5.1835508261085968E-2</v>
      </c>
      <c r="BA35" s="446">
        <f t="shared" si="33"/>
        <v>0.48812482679922164</v>
      </c>
      <c r="BB35" s="477">
        <v>0.3</v>
      </c>
      <c r="BC35" s="477">
        <v>0.6</v>
      </c>
      <c r="BD35" s="478">
        <v>0.7</v>
      </c>
      <c r="BE35" s="494">
        <f>SUMPRODUCT(AX35:AZ35,BF35:BH35)</f>
        <v>3.3017894957528142</v>
      </c>
      <c r="BF35" s="477">
        <v>3.8</v>
      </c>
      <c r="BG35" s="477">
        <v>3</v>
      </c>
      <c r="BH35" s="478">
        <v>2.8</v>
      </c>
      <c r="BJ35" s="514"/>
    </row>
    <row r="36" spans="1:62" x14ac:dyDescent="0.3">
      <c r="A36" s="392">
        <v>2021</v>
      </c>
      <c r="B36" s="250">
        <f t="shared" si="36"/>
        <v>24408</v>
      </c>
      <c r="C36" s="251">
        <f t="shared" ref="C36:C45" si="42">1.03*C35</f>
        <v>1.6576113104078478</v>
      </c>
      <c r="D36" s="206"/>
      <c r="E36" s="254">
        <f t="shared" ref="E36:E43" si="43">ROUND((1+0.06)*E35,0)</f>
        <v>4160694</v>
      </c>
      <c r="F36" s="253">
        <f t="shared" si="37"/>
        <v>36675.62594091153</v>
      </c>
      <c r="G36" s="252">
        <f t="shared" si="38"/>
        <v>61072.690104838803</v>
      </c>
      <c r="H36" s="204"/>
      <c r="I36" s="244">
        <f t="shared" si="39"/>
        <v>97748.31604575034</v>
      </c>
      <c r="J36" s="206"/>
      <c r="K36" s="251">
        <f>E36/I36</f>
        <v>42.565377781573439</v>
      </c>
      <c r="L36" s="203"/>
      <c r="M36" s="529">
        <f>'TABLE OUTPUTS'!E37/0.5</f>
        <v>3648.0888128148972</v>
      </c>
      <c r="N36" s="253"/>
      <c r="O36" s="529">
        <f>'TABLE OUTPUTS'!F37/0.9</f>
        <v>5205.9889551779497</v>
      </c>
      <c r="P36" s="253"/>
      <c r="Q36" s="254"/>
      <c r="R36" s="254"/>
      <c r="S36" s="254"/>
      <c r="T36" s="253"/>
      <c r="U36" s="530">
        <f>'TABLE OUTPUTS'!AF37</f>
        <v>2.7452058682282883</v>
      </c>
      <c r="V36" s="253"/>
      <c r="W36" s="531">
        <f>'TABLE OUTPUTS'!AE37</f>
        <v>18.620621288930586</v>
      </c>
      <c r="X36" s="208"/>
      <c r="Y36" s="529">
        <f>'TABLE OUTPUTS'!F37</f>
        <v>4685.3900596601552</v>
      </c>
      <c r="Z36" s="256"/>
      <c r="AA36" s="529">
        <f>'TABLE OUTPUTS'!E37</f>
        <v>1824.0444064074486</v>
      </c>
      <c r="AB36" s="253"/>
      <c r="AC36" s="529">
        <f>'TABLE OUTPUTS'!B37</f>
        <v>615.80720452500702</v>
      </c>
      <c r="AD36" s="256"/>
      <c r="AE36" s="529">
        <f>'TABLE OUTPUTS'!S37</f>
        <v>0</v>
      </c>
      <c r="AF36" s="256"/>
      <c r="AG36" s="530">
        <f>'TABLE OUTPUTS'!R37</f>
        <v>2.1000000000000001E-2</v>
      </c>
      <c r="AH36" s="256"/>
      <c r="AI36" s="529">
        <f>'TABLE OUTPUTS'!X37</f>
        <v>9520.7868886121214</v>
      </c>
      <c r="AJ36" s="256"/>
      <c r="AK36" s="529">
        <f t="shared" si="41"/>
        <v>1373.5923296104593</v>
      </c>
      <c r="AL36" s="255"/>
      <c r="AM36" s="255"/>
      <c r="AN36" s="250"/>
      <c r="AO36" s="532">
        <f>'TABLE OUTPUTS'!K37</f>
        <v>268.91570000166718</v>
      </c>
      <c r="AP36" s="17"/>
      <c r="AQ36" s="460">
        <f>'TABLE OUTPUTS'!M37</f>
        <v>5790.0666892689469</v>
      </c>
      <c r="AR36" s="391"/>
      <c r="AS36" s="460">
        <f>'TABLE OUTPUTS'!J37</f>
        <v>1824.0444064074488</v>
      </c>
      <c r="AT36" s="257"/>
      <c r="AU36" s="443">
        <f>'TABLE OUTPUTS'!G37</f>
        <v>615.80720452500714</v>
      </c>
      <c r="AV36" s="175"/>
      <c r="AW36" s="534">
        <f>'TABLE OUTPUTS'!I37</f>
        <v>113.66355054731912</v>
      </c>
      <c r="AX36" s="494">
        <f>'Baseline Projection (Backup)'!D9/'Baseline Projection (Backup)'!$G9</f>
        <v>0.38584809028769335</v>
      </c>
      <c r="AY36" s="446">
        <f>'Baseline Projection (Backup)'!E9/'Baseline Projection (Backup)'!$G9</f>
        <v>0.56134975340021831</v>
      </c>
      <c r="AZ36" s="294">
        <f>'Baseline Projection (Backup)'!F9/'Baseline Projection (Backup)'!$G9</f>
        <v>5.2802156312088282E-2</v>
      </c>
      <c r="BA36" s="446">
        <f t="shared" si="33"/>
        <v>0.48952578854490081</v>
      </c>
      <c r="BB36" s="477">
        <v>0.3</v>
      </c>
      <c r="BC36" s="477">
        <v>0.6</v>
      </c>
      <c r="BD36" s="478">
        <v>0.7</v>
      </c>
      <c r="BE36" s="494">
        <f t="shared" ref="BE36:BE44" si="44">SUMPRODUCT(AX36:AZ36,BF36:BH36)</f>
        <v>3.2981180409677369</v>
      </c>
      <c r="BF36" s="477">
        <v>3.8</v>
      </c>
      <c r="BG36" s="477">
        <v>3</v>
      </c>
      <c r="BH36" s="478">
        <v>2.8</v>
      </c>
      <c r="BJ36" s="514"/>
    </row>
    <row r="37" spans="1:62" x14ac:dyDescent="0.3">
      <c r="A37" s="392">
        <v>2022</v>
      </c>
      <c r="B37" s="250">
        <f t="shared" si="36"/>
        <v>24896</v>
      </c>
      <c r="C37" s="251">
        <f t="shared" si="42"/>
        <v>1.7073396497200832</v>
      </c>
      <c r="D37" s="206"/>
      <c r="E37" s="254">
        <f>ROUND((1+0.06)*E36,0)</f>
        <v>4410336</v>
      </c>
      <c r="F37" s="253">
        <f t="shared" si="37"/>
        <v>37676.39837314366</v>
      </c>
      <c r="G37" s="252">
        <f t="shared" si="38"/>
        <v>61151.791268167428</v>
      </c>
      <c r="H37" s="204"/>
      <c r="I37" s="244">
        <f t="shared" si="39"/>
        <v>98828.189641311095</v>
      </c>
      <c r="J37" s="206"/>
      <c r="K37" s="251">
        <f t="shared" si="40"/>
        <v>44.626295554000912</v>
      </c>
      <c r="L37" s="203"/>
      <c r="M37" s="529">
        <f>'TABLE OUTPUTS'!E38/0.5</f>
        <v>3820.5062823626467</v>
      </c>
      <c r="N37" s="253"/>
      <c r="O37" s="529">
        <f>'TABLE OUTPUTS'!F38/0.9</f>
        <v>5435.3354843773022</v>
      </c>
      <c r="P37" s="253"/>
      <c r="Q37" s="254"/>
      <c r="R37" s="254"/>
      <c r="S37" s="254"/>
      <c r="T37" s="253"/>
      <c r="U37" s="530">
        <f>'TABLE OUTPUTS'!AF38</f>
        <v>2.8042628074054994</v>
      </c>
      <c r="V37" s="253"/>
      <c r="W37" s="531">
        <f>'TABLE OUTPUTS'!AE38</f>
        <v>19.279711964769476</v>
      </c>
      <c r="X37" s="208"/>
      <c r="Y37" s="529">
        <f>'TABLE OUTPUTS'!F38</f>
        <v>4891.8019359395721</v>
      </c>
      <c r="Z37" s="256"/>
      <c r="AA37" s="529">
        <f>'TABLE OUTPUTS'!E38</f>
        <v>1910.2531411813234</v>
      </c>
      <c r="AB37" s="253"/>
      <c r="AC37" s="529">
        <f>'TABLE OUTPUTS'!B38</f>
        <v>634.55465047247912</v>
      </c>
      <c r="AD37" s="256"/>
      <c r="AE37" s="529">
        <f>'TABLE OUTPUTS'!S38</f>
        <v>0</v>
      </c>
      <c r="AF37" s="256"/>
      <c r="AG37" s="530">
        <f>'TABLE OUTPUTS'!R38</f>
        <v>2.1000000000000001E-2</v>
      </c>
      <c r="AH37" s="256"/>
      <c r="AI37" s="529">
        <f>'TABLE OUTPUTS'!X38</f>
        <v>10093.182966741781</v>
      </c>
      <c r="AJ37" s="256"/>
      <c r="AK37" s="529">
        <f t="shared" si="41"/>
        <v>1464.2779296489798</v>
      </c>
      <c r="AL37" s="255"/>
      <c r="AM37" s="255"/>
      <c r="AN37" s="250"/>
      <c r="AO37" s="532">
        <f>'TABLE OUTPUTS'!K38</f>
        <v>277.84916322054426</v>
      </c>
      <c r="AP37" s="17"/>
      <c r="AQ37" s="460">
        <f>'TABLE OUTPUTS'!M38</f>
        <v>6078.2307023680078</v>
      </c>
      <c r="AR37" s="391"/>
      <c r="AS37" s="460">
        <f>'TABLE OUTPUTS'!J38</f>
        <v>1910.2531411813243</v>
      </c>
      <c r="AT37" s="257"/>
      <c r="AU37" s="443">
        <f>'TABLE OUTPUTS'!G38</f>
        <v>634.55465047247935</v>
      </c>
      <c r="AV37" s="175"/>
      <c r="AW37" s="534">
        <f>'TABLE OUTPUTS'!I38</f>
        <v>121.66103980911272</v>
      </c>
      <c r="AX37" s="494">
        <f>'Baseline Projection (Backup)'!D10/'Baseline Projection (Backup)'!$G10</f>
        <v>0.38018694651277396</v>
      </c>
      <c r="AY37" s="446">
        <f>'Baseline Projection (Backup)'!E10/'Baseline Projection (Backup)'!$G10</f>
        <v>0.56578641987525535</v>
      </c>
      <c r="AZ37" s="294">
        <f>'Baseline Projection (Backup)'!F10/'Baseline Projection (Backup)'!$G10</f>
        <v>5.4026633611970735E-2</v>
      </c>
      <c r="BA37" s="446">
        <f t="shared" si="33"/>
        <v>0.49134657940736493</v>
      </c>
      <c r="BB37" s="477">
        <v>0.3</v>
      </c>
      <c r="BC37" s="477">
        <v>0.6</v>
      </c>
      <c r="BD37" s="478">
        <v>0.7</v>
      </c>
      <c r="BE37" s="494">
        <f t="shared" si="44"/>
        <v>3.2933442304878251</v>
      </c>
      <c r="BF37" s="477">
        <v>3.8</v>
      </c>
      <c r="BG37" s="477">
        <v>3</v>
      </c>
      <c r="BH37" s="478">
        <v>2.8</v>
      </c>
      <c r="BJ37" s="514"/>
    </row>
    <row r="38" spans="1:62" x14ac:dyDescent="0.3">
      <c r="A38" s="392">
        <v>2023</v>
      </c>
      <c r="B38" s="250">
        <f t="shared" si="36"/>
        <v>25394</v>
      </c>
      <c r="C38" s="251">
        <f t="shared" si="42"/>
        <v>1.7585598392116857</v>
      </c>
      <c r="D38" s="206"/>
      <c r="E38" s="254">
        <f>ROUND((1+0.06)*E37,0)</f>
        <v>4674956</v>
      </c>
      <c r="F38" s="253">
        <f t="shared" si="37"/>
        <v>38704.479008996619</v>
      </c>
      <c r="G38" s="252">
        <f t="shared" si="38"/>
        <v>61230.994883083324</v>
      </c>
      <c r="H38" s="204"/>
      <c r="I38" s="244">
        <f t="shared" si="39"/>
        <v>99935.473892079943</v>
      </c>
      <c r="J38" s="206"/>
      <c r="K38" s="251">
        <f t="shared" si="40"/>
        <v>46.779745148839467</v>
      </c>
      <c r="L38" s="203"/>
      <c r="M38" s="529">
        <f>'TABLE OUTPUTS'!E39/0.5</f>
        <v>4016.83386995198</v>
      </c>
      <c r="N38" s="253"/>
      <c r="O38" s="529">
        <f>'TABLE OUTPUTS'!F39/0.9</f>
        <v>5691.8425963674272</v>
      </c>
      <c r="P38" s="253"/>
      <c r="Q38" s="254"/>
      <c r="R38" s="254"/>
      <c r="S38" s="254"/>
      <c r="T38" s="253"/>
      <c r="U38" s="530">
        <f>'TABLE OUTPUTS'!AF39</f>
        <v>2.8596553349843199</v>
      </c>
      <c r="V38" s="253"/>
      <c r="W38" s="531">
        <f>'TABLE OUTPUTS'!AE39</f>
        <v>20.040781058767664</v>
      </c>
      <c r="X38" s="208"/>
      <c r="Y38" s="529">
        <f>'TABLE OUTPUTS'!F39</f>
        <v>5122.6583367306848</v>
      </c>
      <c r="Z38" s="256"/>
      <c r="AA38" s="529">
        <f>'TABLE OUTPUTS'!E39</f>
        <v>2008.41693497599</v>
      </c>
      <c r="AB38" s="253"/>
      <c r="AC38" s="529">
        <f>'TABLE OUTPUTS'!B39</f>
        <v>653.84648730446577</v>
      </c>
      <c r="AD38" s="256"/>
      <c r="AE38" s="529">
        <f>'TABLE OUTPUTS'!S39</f>
        <v>0</v>
      </c>
      <c r="AF38" s="256"/>
      <c r="AG38" s="530">
        <f>'TABLE OUTPUTS'!R39</f>
        <v>2.1000000000000001E-2</v>
      </c>
      <c r="AH38" s="256"/>
      <c r="AI38" s="529">
        <f>'TABLE OUTPUTS'!X39</f>
        <v>10711.528369364343</v>
      </c>
      <c r="AJ38" s="256"/>
      <c r="AK38" s="529">
        <f t="shared" si="41"/>
        <v>1573.1550971438819</v>
      </c>
      <c r="AL38" s="255"/>
      <c r="AM38" s="255"/>
      <c r="AN38" s="250"/>
      <c r="AO38" s="532">
        <f>'TABLE OUTPUTS'!K39</f>
        <v>286.58464887845611</v>
      </c>
      <c r="AP38" s="17"/>
      <c r="AQ38" s="460">
        <f>'TABLE OUTPUTS'!M39</f>
        <v>6409.2287849961103</v>
      </c>
      <c r="AR38" s="391"/>
      <c r="AS38" s="460">
        <f>'TABLE OUTPUTS'!J39</f>
        <v>2008.4169349759895</v>
      </c>
      <c r="AT38" s="257"/>
      <c r="AU38" s="443">
        <f>'TABLE OUTPUTS'!G39</f>
        <v>653.84648730446588</v>
      </c>
      <c r="AV38" s="175"/>
      <c r="AW38" s="534">
        <f>'TABLE OUTPUTS'!I39</f>
        <v>131.26619476387935</v>
      </c>
      <c r="AX38" s="494">
        <f>'Baseline Projection (Backup)'!D11/'Baseline Projection (Backup)'!$G11</f>
        <v>0.3732320429014151</v>
      </c>
      <c r="AY38" s="446">
        <f>'Baseline Projection (Backup)'!E11/'Baseline Projection (Backup)'!$G11</f>
        <v>0.57124698268537111</v>
      </c>
      <c r="AZ38" s="294">
        <f>'Baseline Projection (Backup)'!F11/'Baseline Projection (Backup)'!$G11</f>
        <v>5.5520974413213915E-2</v>
      </c>
      <c r="BA38" s="446">
        <f t="shared" si="33"/>
        <v>0.49358248457089693</v>
      </c>
      <c r="BB38" s="477">
        <v>0.3</v>
      </c>
      <c r="BC38" s="477">
        <v>0.6</v>
      </c>
      <c r="BD38" s="478">
        <v>0.7</v>
      </c>
      <c r="BE38" s="494">
        <f t="shared" si="44"/>
        <v>3.2874814394384897</v>
      </c>
      <c r="BF38" s="477">
        <v>3.8</v>
      </c>
      <c r="BG38" s="477">
        <v>3</v>
      </c>
      <c r="BH38" s="478">
        <v>2.8</v>
      </c>
      <c r="BJ38" s="514"/>
    </row>
    <row r="39" spans="1:62" x14ac:dyDescent="0.3">
      <c r="A39" s="392">
        <v>2024</v>
      </c>
      <c r="B39" s="250">
        <f t="shared" si="36"/>
        <v>25902</v>
      </c>
      <c r="C39" s="251">
        <f t="shared" si="42"/>
        <v>1.8113166343880363</v>
      </c>
      <c r="D39" s="206"/>
      <c r="E39" s="254">
        <f t="shared" si="43"/>
        <v>4955453</v>
      </c>
      <c r="F39" s="253">
        <f t="shared" si="37"/>
        <v>39760.61301086795</v>
      </c>
      <c r="G39" s="252">
        <f t="shared" si="38"/>
        <v>61310.301082281469</v>
      </c>
      <c r="H39" s="204"/>
      <c r="I39" s="244">
        <f t="shared" si="39"/>
        <v>101070.91409314942</v>
      </c>
      <c r="J39" s="206"/>
      <c r="K39" s="251">
        <f t="shared" si="40"/>
        <v>49.029466533101044</v>
      </c>
      <c r="L39" s="203"/>
      <c r="M39" s="529">
        <f>'TABLE OUTPUTS'!E40/0.5</f>
        <v>4240.0989653631041</v>
      </c>
      <c r="N39" s="253"/>
      <c r="O39" s="529">
        <f>'TABLE OUTPUTS'!F40/0.9</f>
        <v>5985.1607005557753</v>
      </c>
      <c r="P39" s="253"/>
      <c r="Q39" s="254"/>
      <c r="R39" s="254"/>
      <c r="S39" s="254"/>
      <c r="T39" s="253"/>
      <c r="U39" s="530">
        <f>'TABLE OUTPUTS'!AF40</f>
        <v>2.9040983194832055</v>
      </c>
      <c r="V39" s="253"/>
      <c r="W39" s="531">
        <f>'TABLE OUTPUTS'!AE40</f>
        <v>20.91498437511088</v>
      </c>
      <c r="X39" s="208"/>
      <c r="Y39" s="529">
        <f>'TABLE OUTPUTS'!F40</f>
        <v>5386.6446305001982</v>
      </c>
      <c r="Z39" s="256"/>
      <c r="AA39" s="529">
        <f>'TABLE OUTPUTS'!E40</f>
        <v>2120.049482681552</v>
      </c>
      <c r="AB39" s="253"/>
      <c r="AC39" s="529">
        <f>'TABLE OUTPUTS'!B40</f>
        <v>673.64820406833269</v>
      </c>
      <c r="AD39" s="256"/>
      <c r="AE39" s="529">
        <f>'TABLE OUTPUTS'!S40</f>
        <v>0</v>
      </c>
      <c r="AF39" s="256"/>
      <c r="AG39" s="530">
        <f>'TABLE OUTPUTS'!R40</f>
        <v>2.1000000000000001E-2</v>
      </c>
      <c r="AH39" s="256"/>
      <c r="AI39" s="529">
        <f>'TABLE OUTPUTS'!X40</f>
        <v>11364.207944778933</v>
      </c>
      <c r="AJ39" s="256"/>
      <c r="AK39" s="529">
        <f t="shared" si="41"/>
        <v>1696.3753542476907</v>
      </c>
      <c r="AL39" s="255"/>
      <c r="AM39" s="255"/>
      <c r="AN39" s="250"/>
      <c r="AO39" s="532">
        <f>'TABLE OUTPUTS'!K40</f>
        <v>294.37421656424709</v>
      </c>
      <c r="AP39" s="17"/>
      <c r="AQ39" s="460">
        <f>'TABLE OUTPUTS'!M40</f>
        <v>6788.6457681836418</v>
      </c>
      <c r="AR39" s="391"/>
      <c r="AS39" s="460">
        <f>'TABLE OUTPUTS'!J40</f>
        <v>2120.049482681552</v>
      </c>
      <c r="AT39" s="257"/>
      <c r="AU39" s="443">
        <f>'TABLE OUTPUTS'!G40</f>
        <v>673.64820406833269</v>
      </c>
      <c r="AV39" s="175"/>
      <c r="AW39" s="534">
        <f>'TABLE OUTPUTS'!I40</f>
        <v>142.76018718829047</v>
      </c>
      <c r="AX39" s="494">
        <f>'Baseline Projection (Backup)'!D12/'Baseline Projection (Backup)'!$G12</f>
        <v>0.36501418435624039</v>
      </c>
      <c r="AY39" s="446">
        <f>'Baseline Projection (Backup)'!E12/'Baseline Projection (Backup)'!$G12</f>
        <v>0.57768738048174173</v>
      </c>
      <c r="AZ39" s="294">
        <f>'Baseline Projection (Backup)'!F12/'Baseline Projection (Backup)'!$G12</f>
        <v>5.7298435162017977E-2</v>
      </c>
      <c r="BA39" s="446">
        <f t="shared" si="33"/>
        <v>0.49622558820932977</v>
      </c>
      <c r="BB39" s="477">
        <v>0.3</v>
      </c>
      <c r="BC39" s="477">
        <v>0.6</v>
      </c>
      <c r="BD39" s="478">
        <v>0.7</v>
      </c>
      <c r="BE39" s="494">
        <f t="shared" si="44"/>
        <v>3.2805516604525891</v>
      </c>
      <c r="BF39" s="477">
        <v>3.8</v>
      </c>
      <c r="BG39" s="477">
        <v>3</v>
      </c>
      <c r="BH39" s="478">
        <v>2.8</v>
      </c>
      <c r="BJ39" s="514"/>
    </row>
    <row r="40" spans="1:62" x14ac:dyDescent="0.3">
      <c r="A40" s="593">
        <v>2025</v>
      </c>
      <c r="B40" s="594">
        <f t="shared" si="36"/>
        <v>26420</v>
      </c>
      <c r="C40" s="595">
        <f t="shared" si="42"/>
        <v>1.8656561334196773</v>
      </c>
      <c r="D40" s="596"/>
      <c r="E40" s="597">
        <f t="shared" si="43"/>
        <v>5252780</v>
      </c>
      <c r="F40" s="451">
        <f t="shared" si="37"/>
        <v>40845.565874495551</v>
      </c>
      <c r="G40" s="598">
        <f t="shared" si="38"/>
        <v>61389.709998628721</v>
      </c>
      <c r="H40" s="599"/>
      <c r="I40" s="600">
        <v>101622.49192608356</v>
      </c>
      <c r="J40" s="601"/>
      <c r="K40" s="602">
        <f t="shared" si="40"/>
        <v>51.689147751077371</v>
      </c>
      <c r="L40" s="603"/>
      <c r="M40" s="718">
        <f>'TABLE OUTPUTS'!E41/0.5</f>
        <v>4494.325117024393</v>
      </c>
      <c r="N40" s="451"/>
      <c r="O40" s="604">
        <f>'TABLE OUTPUTS'!F41/0.9</f>
        <v>6319.7291149322718</v>
      </c>
      <c r="P40" s="451"/>
      <c r="Q40" s="605"/>
      <c r="R40" s="605"/>
      <c r="S40" s="605"/>
      <c r="T40" s="451"/>
      <c r="U40" s="606">
        <f>'TABLE OUTPUTS'!AF41</f>
        <v>2.9378138272807912</v>
      </c>
      <c r="V40" s="451"/>
      <c r="W40" s="607">
        <f>'TABLE OUTPUTS'!AE41</f>
        <v>21.91780645170039</v>
      </c>
      <c r="X40" s="608"/>
      <c r="Y40" s="604">
        <f>'TABLE OUTPUTS'!F41</f>
        <v>5687.7562034390448</v>
      </c>
      <c r="Z40" s="609"/>
      <c r="AA40" s="604">
        <f>'TABLE OUTPUTS'!E41</f>
        <v>2247.1625585121965</v>
      </c>
      <c r="AB40" s="451"/>
      <c r="AC40" s="604">
        <f>'TABLE OUTPUTS'!B41</f>
        <v>693.9858165839139</v>
      </c>
      <c r="AD40" s="609"/>
      <c r="AE40" s="604">
        <f>'TABLE OUTPUTS'!S41</f>
        <v>0</v>
      </c>
      <c r="AF40" s="609"/>
      <c r="AG40" s="606">
        <f>'TABLE OUTPUTS'!R41</f>
        <v>2.1000000000000001E-2</v>
      </c>
      <c r="AH40" s="609"/>
      <c r="AI40" s="604">
        <f>'TABLE OUTPUTS'!X41</f>
        <v>12058.843385069713</v>
      </c>
      <c r="AJ40" s="609"/>
      <c r="AK40" s="604">
        <f t="shared" si="41"/>
        <v>1837.2529774143968</v>
      </c>
      <c r="AL40" s="610"/>
      <c r="AM40" s="610"/>
      <c r="AN40" s="611"/>
      <c r="AO40" s="612">
        <f>'TABLE OUTPUTS'!K41</f>
        <v>301.20465070685225</v>
      </c>
      <c r="AP40" s="603"/>
      <c r="AQ40" s="600">
        <f>'TABLE OUTPUTS'!M41</f>
        <v>7223.8045301465891</v>
      </c>
      <c r="AR40" s="597"/>
      <c r="AS40" s="600">
        <f>'TABLE OUTPUTS'!J41</f>
        <v>2247.1625585121956</v>
      </c>
      <c r="AT40" s="610"/>
      <c r="AU40" s="612">
        <f>'TABLE OUTPUTS'!G41</f>
        <v>693.98581658391379</v>
      </c>
      <c r="AV40" s="613"/>
      <c r="AW40" s="604">
        <f>'TABLE OUTPUTS'!I41</f>
        <v>156.50186685453082</v>
      </c>
      <c r="AX40" s="494">
        <f>'Baseline Projection (Backup)'!D13/'Baseline Projection (Backup)'!$G13</f>
        <v>0.35557049113939893</v>
      </c>
      <c r="AY40" s="446">
        <f>'Baseline Projection (Backup)'!E13/'Baseline Projection (Backup)'!$G13</f>
        <v>0.58505460552565158</v>
      </c>
      <c r="AZ40" s="294">
        <f>'Baseline Projection (Backup)'!F13/'Baseline Projection (Backup)'!$G13</f>
        <v>5.9374903334949415E-2</v>
      </c>
      <c r="BA40" s="446">
        <f t="shared" si="33"/>
        <v>0.49926634299167522</v>
      </c>
      <c r="BB40" s="477">
        <v>0.3</v>
      </c>
      <c r="BC40" s="477">
        <v>0.6</v>
      </c>
      <c r="BD40" s="478">
        <v>0.7</v>
      </c>
      <c r="BE40" s="494">
        <f t="shared" si="44"/>
        <v>3.2725814122445289</v>
      </c>
      <c r="BF40" s="477">
        <v>3.8</v>
      </c>
      <c r="BG40" s="477">
        <v>3</v>
      </c>
      <c r="BH40" s="478">
        <v>2.8</v>
      </c>
      <c r="BJ40" s="514"/>
    </row>
    <row r="41" spans="1:62" x14ac:dyDescent="0.3">
      <c r="A41" s="392">
        <v>2026</v>
      </c>
      <c r="B41" s="250">
        <f t="shared" si="36"/>
        <v>26948</v>
      </c>
      <c r="C41" s="251">
        <f t="shared" si="42"/>
        <v>1.9216258174222676</v>
      </c>
      <c r="D41" s="206"/>
      <c r="E41" s="254">
        <f t="shared" si="43"/>
        <v>5567947</v>
      </c>
      <c r="F41" s="253">
        <f t="shared" si="37"/>
        <v>41960.123983796097</v>
      </c>
      <c r="G41" s="252">
        <f t="shared" si="38"/>
        <v>61469.221765164017</v>
      </c>
      <c r="H41" s="204"/>
      <c r="I41" s="244">
        <f t="shared" si="39"/>
        <v>103429.34574896011</v>
      </c>
      <c r="J41" s="206"/>
      <c r="K41" s="251">
        <f t="shared" si="40"/>
        <v>53.833338688173811</v>
      </c>
      <c r="L41" s="203"/>
      <c r="M41" s="529">
        <f>'TABLE OUTPUTS'!E42/0.5</f>
        <v>4692.2355222174683</v>
      </c>
      <c r="N41" s="253"/>
      <c r="O41" s="529">
        <f>'TABLE OUTPUTS'!F42/0.9</f>
        <v>6715.595447755386</v>
      </c>
      <c r="P41" s="253"/>
      <c r="Q41" s="254"/>
      <c r="R41" s="254"/>
      <c r="S41" s="254"/>
      <c r="T41" s="253"/>
      <c r="U41" s="530">
        <f>'TABLE OUTPUTS'!AF42</f>
        <v>3.0765514450284033</v>
      </c>
      <c r="V41" s="253"/>
      <c r="W41" s="531">
        <f>'TABLE OUTPUTS'!AE42</f>
        <v>22.623693717068889</v>
      </c>
      <c r="X41" s="208"/>
      <c r="Y41" s="529">
        <f>'TABLE OUTPUTS'!F42</f>
        <v>6044.0359029798474</v>
      </c>
      <c r="Z41" s="256"/>
      <c r="AA41" s="529">
        <f>'TABLE OUTPUTS'!E42</f>
        <v>2346.1177611087342</v>
      </c>
      <c r="AB41" s="253"/>
      <c r="AC41" s="529">
        <f>'TABLE OUTPUTS'!B42</f>
        <v>667.72874823421785</v>
      </c>
      <c r="AD41" s="256"/>
      <c r="AE41" s="529">
        <f>'TABLE OUTPUTS'!S42</f>
        <v>0</v>
      </c>
      <c r="AF41" s="256"/>
      <c r="AG41" s="530">
        <f>'TABLE OUTPUTS'!R42</f>
        <v>2.1000000000000001E-2</v>
      </c>
      <c r="AH41" s="256"/>
      <c r="AI41" s="529">
        <f>'TABLE OUTPUTS'!X42</f>
        <v>12825.962856612787</v>
      </c>
      <c r="AJ41" s="256"/>
      <c r="AK41" s="529">
        <f t="shared" si="41"/>
        <v>1895.0213785322167</v>
      </c>
      <c r="AL41" s="255"/>
      <c r="AM41" s="255"/>
      <c r="AN41" s="250"/>
      <c r="AO41" s="532">
        <f>'TABLE OUTPUTS'!K42</f>
        <v>319.04392264204648</v>
      </c>
      <c r="AP41" s="17"/>
      <c r="AQ41" s="460">
        <f>'TABLE OUTPUTS'!M42</f>
        <v>7620.0133588700173</v>
      </c>
      <c r="AR41" s="391"/>
      <c r="AS41" s="460">
        <f>'TABLE OUTPUTS'!J42</f>
        <v>2346.1177611087346</v>
      </c>
      <c r="AT41" s="257"/>
      <c r="AU41" s="443">
        <f>'TABLE OUTPUTS'!G42</f>
        <v>667.72874823421796</v>
      </c>
      <c r="AV41" s="175"/>
      <c r="AW41" s="534">
        <f>'TABLE OUTPUTS'!I42</f>
        <v>173.09802046169517</v>
      </c>
      <c r="AX41" s="494">
        <f>'Baseline Projection (Backup)'!D14/'Baseline Projection (Backup)'!$G14</f>
        <v>0.32958800160965102</v>
      </c>
      <c r="AY41" s="446">
        <f>'Baseline Projection (Backup)'!E14/'Baseline Projection (Backup)'!$G14</f>
        <v>0.60717661674358725</v>
      </c>
      <c r="AZ41" s="294">
        <f>'Baseline Projection (Backup)'!F14/'Baseline Projection (Backup)'!$G14</f>
        <v>6.3235381646761651E-2</v>
      </c>
      <c r="BA41" s="446">
        <f t="shared" si="33"/>
        <v>0.50744713768178085</v>
      </c>
      <c r="BB41" s="477">
        <v>0.3</v>
      </c>
      <c r="BC41" s="477">
        <v>0.6</v>
      </c>
      <c r="BD41" s="478">
        <v>0.7</v>
      </c>
      <c r="BE41" s="494">
        <f t="shared" si="44"/>
        <v>3.2510233249583687</v>
      </c>
      <c r="BF41" s="477">
        <v>3.8</v>
      </c>
      <c r="BG41" s="477">
        <v>3</v>
      </c>
      <c r="BH41" s="478">
        <v>2.8</v>
      </c>
      <c r="BJ41" s="514"/>
    </row>
    <row r="42" spans="1:62" x14ac:dyDescent="0.3">
      <c r="A42" s="392">
        <v>2027</v>
      </c>
      <c r="B42" s="250">
        <f t="shared" si="36"/>
        <v>27487</v>
      </c>
      <c r="C42" s="251">
        <f t="shared" si="42"/>
        <v>1.9792745919449357</v>
      </c>
      <c r="D42" s="206"/>
      <c r="E42" s="254">
        <f t="shared" si="43"/>
        <v>5902024</v>
      </c>
      <c r="F42" s="253">
        <f t="shared" si="37"/>
        <v>43105.095180843418</v>
      </c>
      <c r="G42" s="252">
        <f t="shared" si="38"/>
        <v>61548.836515098614</v>
      </c>
      <c r="H42" s="204"/>
      <c r="I42" s="244">
        <f t="shared" si="39"/>
        <v>104653.93169594204</v>
      </c>
      <c r="J42" s="206"/>
      <c r="K42" s="251">
        <f t="shared" si="40"/>
        <v>56.395626082616168</v>
      </c>
      <c r="L42" s="203"/>
      <c r="M42" s="529">
        <f>'TABLE OUTPUTS'!E43/0.5</f>
        <v>4922.1964106021478</v>
      </c>
      <c r="N42" s="253"/>
      <c r="O42" s="529">
        <f>'TABLE OUTPUTS'!F43/0.9</f>
        <v>7168.2977704173409</v>
      </c>
      <c r="P42" s="253"/>
      <c r="Q42" s="254"/>
      <c r="R42" s="254"/>
      <c r="S42" s="254"/>
      <c r="T42" s="253"/>
      <c r="U42" s="530">
        <f>'TABLE OUTPUTS'!AF43</f>
        <v>3.2314610995910575</v>
      </c>
      <c r="V42" s="253"/>
      <c r="W42" s="531">
        <f>'TABLE OUTPUTS'!AE43</f>
        <v>23.463544343958141</v>
      </c>
      <c r="X42" s="208"/>
      <c r="Y42" s="529">
        <f>'TABLE OUTPUTS'!F43</f>
        <v>6451.467993375607</v>
      </c>
      <c r="Z42" s="256"/>
      <c r="AA42" s="529">
        <f>'TABLE OUTPUTS'!E43</f>
        <v>2461.0982053010739</v>
      </c>
      <c r="AB42" s="253"/>
      <c r="AC42" s="529">
        <f>'TABLE OUTPUTS'!B43</f>
        <v>636.87536632901663</v>
      </c>
      <c r="AD42" s="256"/>
      <c r="AE42" s="529">
        <f>'TABLE OUTPUTS'!S43</f>
        <v>0</v>
      </c>
      <c r="AF42" s="256"/>
      <c r="AG42" s="530">
        <f>'TABLE OUTPUTS'!R43</f>
        <v>2.1000000000000001E-2</v>
      </c>
      <c r="AH42" s="256"/>
      <c r="AI42" s="529">
        <f>'TABLE OUTPUTS'!X43</f>
        <v>13697.593575987876</v>
      </c>
      <c r="AJ42" s="256"/>
      <c r="AK42" s="529">
        <f t="shared" si="41"/>
        <v>1968.5216564545835</v>
      </c>
      <c r="AL42" s="255"/>
      <c r="AM42" s="255"/>
      <c r="AN42" s="250"/>
      <c r="AO42" s="532">
        <f>'TABLE OUTPUTS'!K43</f>
        <v>338.94892417443589</v>
      </c>
      <c r="AP42" s="17"/>
      <c r="AQ42" s="460">
        <f>'TABLE OUTPUTS'!M43</f>
        <v>8081.0407256557546</v>
      </c>
      <c r="AR42" s="391"/>
      <c r="AS42" s="460">
        <f>'TABLE OUTPUTS'!J43</f>
        <v>2461.098205301073</v>
      </c>
      <c r="AT42" s="257"/>
      <c r="AU42" s="443">
        <f>'TABLE OUTPUTS'!G43</f>
        <v>636.87536632901652</v>
      </c>
      <c r="AV42" s="175"/>
      <c r="AW42" s="534">
        <f>'TABLE OUTPUTS'!I43</f>
        <v>193.00834414434777</v>
      </c>
      <c r="AX42" s="494">
        <f>'Baseline Projection (Backup)'!D15/'Baseline Projection (Backup)'!$G15</f>
        <v>0.30154003065226631</v>
      </c>
      <c r="AY42" s="446">
        <f>'Baseline Projection (Backup)'!E15/'Baseline Projection (Backup)'!$G15</f>
        <v>0.63085295740137903</v>
      </c>
      <c r="AZ42" s="294">
        <f>'Baseline Projection (Backup)'!F15/'Baseline Projection (Backup)'!$G15</f>
        <v>6.760701194635492E-2</v>
      </c>
      <c r="BA42" s="446">
        <f t="shared" si="33"/>
        <v>0.51629869199895573</v>
      </c>
      <c r="BB42" s="477">
        <v>0.3</v>
      </c>
      <c r="BC42" s="477">
        <v>0.6</v>
      </c>
      <c r="BD42" s="478">
        <v>0.7</v>
      </c>
      <c r="BE42" s="494">
        <f t="shared" si="44"/>
        <v>3.2277106221325425</v>
      </c>
      <c r="BF42" s="477">
        <v>3.8</v>
      </c>
      <c r="BG42" s="477">
        <v>3</v>
      </c>
      <c r="BH42" s="478">
        <v>2.8</v>
      </c>
      <c r="BJ42" s="514"/>
    </row>
    <row r="43" spans="1:62" x14ac:dyDescent="0.3">
      <c r="A43" s="392">
        <v>2028</v>
      </c>
      <c r="B43" s="250">
        <f>ROUND((1+B$47)*B42,0)</f>
        <v>28037</v>
      </c>
      <c r="C43" s="251">
        <f t="shared" si="42"/>
        <v>2.0386528297032838</v>
      </c>
      <c r="D43" s="206"/>
      <c r="E43" s="254">
        <f t="shared" si="43"/>
        <v>6256145</v>
      </c>
      <c r="F43" s="253">
        <f t="shared" si="37"/>
        <v>44281.309351399927</v>
      </c>
      <c r="G43" s="252">
        <f t="shared" si="38"/>
        <v>61628.554381816291</v>
      </c>
      <c r="H43" s="204"/>
      <c r="I43" s="244">
        <f t="shared" si="39"/>
        <v>105909.86373321622</v>
      </c>
      <c r="J43" s="206"/>
      <c r="K43" s="251">
        <f t="shared" si="40"/>
        <v>59.070465955456633</v>
      </c>
      <c r="L43" s="203"/>
      <c r="M43" s="529">
        <f>'TABLE OUTPUTS'!E44/0.5</f>
        <v>5192.7260851534047</v>
      </c>
      <c r="N43" s="253"/>
      <c r="O43" s="529">
        <f>'TABLE OUTPUTS'!F44/0.9</f>
        <v>7685.8440400369836</v>
      </c>
      <c r="P43" s="253"/>
      <c r="Q43" s="254"/>
      <c r="R43" s="254"/>
      <c r="S43" s="254"/>
      <c r="T43" s="253"/>
      <c r="U43" s="530">
        <f>'TABLE OUTPUTS'!AF44</f>
        <v>3.4007694967759949</v>
      </c>
      <c r="V43" s="253"/>
      <c r="W43" s="531">
        <f>'TABLE OUTPUTS'!AE44</f>
        <v>24.472658197728606</v>
      </c>
      <c r="X43" s="208"/>
      <c r="Y43" s="529">
        <f>'TABLE OUTPUTS'!F44</f>
        <v>6917.2596360332855</v>
      </c>
      <c r="Z43" s="256"/>
      <c r="AA43" s="529">
        <f>'TABLE OUTPUTS'!E44</f>
        <v>2596.3630425767024</v>
      </c>
      <c r="AB43" s="253"/>
      <c r="AC43" s="529">
        <f>'TABLE OUTPUTS'!B44</f>
        <v>602.14859957157694</v>
      </c>
      <c r="AD43" s="256"/>
      <c r="AE43" s="529">
        <f>'TABLE OUTPUTS'!S44</f>
        <v>0</v>
      </c>
      <c r="AF43" s="256"/>
      <c r="AG43" s="530">
        <f>'TABLE OUTPUTS'!R44</f>
        <v>2.1000000000000001E-2</v>
      </c>
      <c r="AH43" s="256"/>
      <c r="AI43" s="529">
        <f>'TABLE OUTPUTS'!X44</f>
        <v>14705.545016437814</v>
      </c>
      <c r="AJ43" s="256"/>
      <c r="AK43" s="529">
        <f t="shared" si="41"/>
        <v>2065.0327775100141</v>
      </c>
      <c r="AL43" s="255"/>
      <c r="AM43" s="255"/>
      <c r="AN43" s="250"/>
      <c r="AO43" s="532">
        <f>'TABLE OUTPUTS'!K44</f>
        <v>360.79579775975753</v>
      </c>
      <c r="AP43" s="17"/>
      <c r="AQ43" s="460">
        <f>'TABLE OUTPUTS'!M44</f>
        <v>8621.4966157835424</v>
      </c>
      <c r="AR43" s="391"/>
      <c r="AS43" s="460">
        <f>'TABLE OUTPUTS'!J44</f>
        <v>2596.3630425767024</v>
      </c>
      <c r="AT43" s="257"/>
      <c r="AU43" s="443">
        <f>'TABLE OUTPUTS'!G44</f>
        <v>602.14859957157682</v>
      </c>
      <c r="AV43" s="175"/>
      <c r="AW43" s="534">
        <f>'TABLE OUTPUTS'!I44</f>
        <v>216.95566856842373</v>
      </c>
      <c r="AX43" s="494">
        <f>'Baseline Projection (Backup)'!D16/'Baseline Projection (Backup)'!$G16</f>
        <v>0.2717719539546643</v>
      </c>
      <c r="AY43" s="446">
        <f>'Baseline Projection (Backup)'!E16/'Baseline Projection (Backup)'!$G16</f>
        <v>0.65467514864301934</v>
      </c>
      <c r="AZ43" s="294">
        <f>'Baseline Projection (Backup)'!F16/'Baseline Projection (Backup)'!$G16</f>
        <v>7.3552897402316256E-2</v>
      </c>
      <c r="BA43" s="446">
        <f t="shared" si="33"/>
        <v>0.52582370355383223</v>
      </c>
      <c r="BB43" s="477">
        <v>0.3</v>
      </c>
      <c r="BC43" s="477">
        <v>0.6</v>
      </c>
      <c r="BD43" s="478">
        <v>0.7</v>
      </c>
      <c r="BE43" s="494">
        <f t="shared" si="44"/>
        <v>3.2027069836832673</v>
      </c>
      <c r="BF43" s="477">
        <v>3.8</v>
      </c>
      <c r="BG43" s="477">
        <v>3</v>
      </c>
      <c r="BH43" s="478">
        <v>2.8</v>
      </c>
      <c r="BJ43" s="514"/>
    </row>
    <row r="44" spans="1:62" s="288" customFormat="1" x14ac:dyDescent="0.3">
      <c r="A44" s="392">
        <v>2029</v>
      </c>
      <c r="B44" s="250">
        <f>ROUND((1+B$47)*B43,0)</f>
        <v>28598</v>
      </c>
      <c r="C44" s="251">
        <f t="shared" si="42"/>
        <v>2.0998124145943824</v>
      </c>
      <c r="D44" s="206"/>
      <c r="E44" s="254">
        <f>ROUND((1+0.06)*E43,0)</f>
        <v>6631514</v>
      </c>
      <c r="F44" s="253">
        <f t="shared" si="37"/>
        <v>45489.619026425542</v>
      </c>
      <c r="G44" s="252">
        <f t="shared" si="38"/>
        <v>61708.375498873604</v>
      </c>
      <c r="H44" s="204"/>
      <c r="I44" s="244">
        <f t="shared" si="39"/>
        <v>107197.99452529915</v>
      </c>
      <c r="J44" s="206"/>
      <c r="K44" s="251">
        <f>E44/I44</f>
        <v>61.862295366308715</v>
      </c>
      <c r="L44" s="203"/>
      <c r="M44" s="529">
        <f>'TABLE OUTPUTS'!E45/0.5</f>
        <v>5522.5387689293257</v>
      </c>
      <c r="N44" s="253"/>
      <c r="O44" s="529">
        <f>'TABLE OUTPUTS'!F45/0.9</f>
        <v>8197.5015127016031</v>
      </c>
      <c r="P44" s="253"/>
      <c r="Q44" s="254"/>
      <c r="R44" s="254"/>
      <c r="S44" s="254"/>
      <c r="T44" s="253"/>
      <c r="U44" s="530">
        <f>'TABLE OUTPUTS'!AF45</f>
        <v>3.6306054790093962</v>
      </c>
      <c r="V44" s="253"/>
      <c r="W44" s="531">
        <f>'TABLE OUTPUTS'!AE45</f>
        <v>25.670901071295244</v>
      </c>
      <c r="X44" s="208"/>
      <c r="Y44" s="529">
        <f>'TABLE OUTPUTS'!F45</f>
        <v>7377.751361431443</v>
      </c>
      <c r="Z44" s="256"/>
      <c r="AA44" s="529">
        <f>'TABLE OUTPUTS'!E45</f>
        <v>2761.2693844646628</v>
      </c>
      <c r="AB44" s="253"/>
      <c r="AC44" s="529">
        <f>'TABLE OUTPUTS'!B45</f>
        <v>564.80061342366037</v>
      </c>
      <c r="AD44" s="256"/>
      <c r="AE44" s="529">
        <f>'TABLE OUTPUTS'!S45</f>
        <v>0</v>
      </c>
      <c r="AF44" s="256"/>
      <c r="AG44" s="530">
        <f>'TABLE OUTPUTS'!R45</f>
        <v>6.5896310357917631</v>
      </c>
      <c r="AH44" s="256"/>
      <c r="AI44" s="529">
        <f>'TABLE OUTPUTS'!X45</f>
        <v>16121.35465743904</v>
      </c>
      <c r="AJ44" s="256"/>
      <c r="AK44" s="529">
        <f t="shared" si="41"/>
        <v>2286.6027756049562</v>
      </c>
      <c r="AL44" s="255"/>
      <c r="AM44" s="255"/>
      <c r="AN44" s="250"/>
      <c r="AO44" s="532">
        <f>'TABLE OUTPUTS'!K45</f>
        <v>389.59410192318398</v>
      </c>
      <c r="AP44" s="17"/>
      <c r="AQ44" s="460">
        <f>'TABLE OUTPUTS'!M45</f>
        <v>9274.7600351132151</v>
      </c>
      <c r="AR44" s="391"/>
      <c r="AS44" s="460">
        <f>'TABLE OUTPUTS'!J45</f>
        <v>2754.7007534288714</v>
      </c>
      <c r="AT44" s="257"/>
      <c r="AU44" s="443">
        <f>'TABLE OUTPUTS'!G45</f>
        <v>564.80061342366025</v>
      </c>
      <c r="AV44" s="175"/>
      <c r="AW44" s="534">
        <f>'TABLE OUTPUTS'!I45</f>
        <v>242.57843383815279</v>
      </c>
      <c r="AX44" s="494">
        <f>'Baseline Projection (Backup)'!D17/'Baseline Projection (Backup)'!$G17</f>
        <v>0.24093018031907759</v>
      </c>
      <c r="AY44" s="446">
        <f>'Baseline Projection (Backup)'!E17/'Baseline Projection (Backup)'!$G17</f>
        <v>0.67813682172446799</v>
      </c>
      <c r="AZ44" s="294">
        <f>'Baseline Projection (Backup)'!F17/'Baseline Projection (Backup)'!$G17</f>
        <v>8.0932997956454367E-2</v>
      </c>
      <c r="BA44" s="446">
        <f t="shared" si="33"/>
        <v>0.53581424569992209</v>
      </c>
      <c r="BB44" s="477">
        <v>0.3</v>
      </c>
      <c r="BC44" s="477">
        <v>0.6</v>
      </c>
      <c r="BD44" s="478">
        <v>0.7</v>
      </c>
      <c r="BE44" s="494">
        <f t="shared" si="44"/>
        <v>3.1765575446639711</v>
      </c>
      <c r="BF44" s="477">
        <v>3.8</v>
      </c>
      <c r="BG44" s="477">
        <v>3</v>
      </c>
      <c r="BH44" s="478">
        <v>2.8</v>
      </c>
      <c r="BJ44" s="514"/>
    </row>
    <row r="45" spans="1:62" s="288" customFormat="1" ht="16.2" thickBot="1" x14ac:dyDescent="0.35">
      <c r="A45" s="614">
        <v>2030</v>
      </c>
      <c r="B45" s="615">
        <f>ROUND((1+B$47)*B44,0)</f>
        <v>29170</v>
      </c>
      <c r="C45" s="616">
        <f t="shared" si="42"/>
        <v>2.1628067870322139</v>
      </c>
      <c r="D45" s="617"/>
      <c r="E45" s="618">
        <f>ROUND((1+0.06)*E44,0)</f>
        <v>7029405</v>
      </c>
      <c r="F45" s="619">
        <v>46730.9</v>
      </c>
      <c r="G45" s="620">
        <v>61788.3</v>
      </c>
      <c r="H45" s="621"/>
      <c r="I45" s="620">
        <f t="shared" si="39"/>
        <v>108519.20000000001</v>
      </c>
      <c r="J45" s="622"/>
      <c r="K45" s="616">
        <f>E45/I45</f>
        <v>64.775680248287856</v>
      </c>
      <c r="L45" s="623"/>
      <c r="M45" s="624">
        <f>'TABLE OUTPUTS'!E46/0.5</f>
        <v>5928.3095302384754</v>
      </c>
      <c r="N45" s="619"/>
      <c r="O45" s="624">
        <f>'TABLE OUTPUTS'!F46/0.9</f>
        <v>8894.8863849926784</v>
      </c>
      <c r="P45" s="619"/>
      <c r="Q45" s="618"/>
      <c r="R45" s="618"/>
      <c r="S45" s="618"/>
      <c r="T45" s="619"/>
      <c r="U45" s="625">
        <f>'TABLE OUTPUTS'!AF46</f>
        <v>3.9247446269708162</v>
      </c>
      <c r="V45" s="619"/>
      <c r="W45" s="626">
        <f>'TABLE OUTPUTS'!AE46</f>
        <v>27.075669352076147</v>
      </c>
      <c r="X45" s="617"/>
      <c r="Y45" s="624">
        <f>'TABLE OUTPUTS'!F46</f>
        <v>8005.3977464934105</v>
      </c>
      <c r="Z45" s="627"/>
      <c r="AA45" s="624">
        <f>'TABLE OUTPUTS'!E46</f>
        <v>2964.1547651192377</v>
      </c>
      <c r="AB45" s="619"/>
      <c r="AC45" s="624">
        <f>'TABLE OUTPUTS'!B46</f>
        <v>524.84821475456101</v>
      </c>
      <c r="AD45" s="627"/>
      <c r="AE45" s="624">
        <f>'TABLE OUTPUTS'!S46</f>
        <v>0</v>
      </c>
      <c r="AF45" s="627"/>
      <c r="AG45" s="625">
        <f>'TABLE OUTPUTS'!R46</f>
        <v>25.43134984972723</v>
      </c>
      <c r="AH45" s="627"/>
      <c r="AI45" s="624">
        <f>'TABLE OUTPUTS'!X46</f>
        <v>17829.816824444115</v>
      </c>
      <c r="AJ45" s="627"/>
      <c r="AK45" s="624">
        <f t="shared" si="41"/>
        <v>2492.7846715708856</v>
      </c>
      <c r="AL45" s="628"/>
      <c r="AM45" s="628"/>
      <c r="AN45" s="615"/>
      <c r="AO45" s="629">
        <f>'TABLE OUTPUTS'!K46</f>
        <v>425.98471727108381</v>
      </c>
      <c r="AP45" s="630"/>
      <c r="AQ45" s="631">
        <f>'TABLE OUTPUTS'!M46</f>
        <v>10072.197700793213</v>
      </c>
      <c r="AR45" s="632"/>
      <c r="AS45" s="631">
        <f>'TABLE OUTPUTS'!J46</f>
        <v>2938.7444152695111</v>
      </c>
      <c r="AT45" s="628"/>
      <c r="AU45" s="629">
        <f>'TABLE OUTPUTS'!G46</f>
        <v>524.84821475456124</v>
      </c>
      <c r="AV45" s="633"/>
      <c r="AW45" s="624">
        <f>'TABLE OUTPUTS'!I46</f>
        <v>268.46524340020051</v>
      </c>
      <c r="AX45" s="495"/>
      <c r="AY45" s="448"/>
      <c r="AZ45" s="389"/>
      <c r="BA45" s="448"/>
      <c r="BB45" s="475"/>
      <c r="BC45" s="475"/>
      <c r="BD45" s="476"/>
      <c r="BE45" s="495"/>
      <c r="BF45" s="475"/>
      <c r="BG45" s="475"/>
      <c r="BH45" s="476"/>
      <c r="BJ45" s="514"/>
    </row>
    <row r="46" spans="1:62" x14ac:dyDescent="0.3">
      <c r="A46" s="262"/>
      <c r="B46" s="288"/>
      <c r="C46" s="262"/>
      <c r="F46" s="288"/>
      <c r="G46" s="187"/>
      <c r="I46" s="393"/>
      <c r="L46" s="188"/>
      <c r="AC46" s="222"/>
    </row>
    <row r="47" spans="1:62" x14ac:dyDescent="0.3">
      <c r="A47" s="189" t="s">
        <v>124</v>
      </c>
      <c r="B47" s="444">
        <v>0.02</v>
      </c>
      <c r="C47" s="187"/>
      <c r="G47" s="514"/>
      <c r="H47" s="288"/>
      <c r="I47" s="187"/>
      <c r="L47" s="188"/>
      <c r="M47" s="290"/>
      <c r="N47" s="188"/>
      <c r="AC47" s="290"/>
      <c r="AP47" s="263"/>
      <c r="AQ47" s="176"/>
      <c r="AR47" s="176"/>
      <c r="AS47" s="176"/>
      <c r="AX47" s="264"/>
    </row>
    <row r="48" spans="1:62" x14ac:dyDescent="0.3">
      <c r="A48" s="189"/>
      <c r="F48" s="288"/>
      <c r="M48" s="725"/>
      <c r="P48" s="188"/>
      <c r="Q48" s="188"/>
      <c r="AC48" s="290"/>
      <c r="AM48" s="222"/>
      <c r="AN48" s="222"/>
      <c r="AO48" s="176"/>
      <c r="AQ48" s="265"/>
      <c r="AR48" s="265"/>
      <c r="AS48" s="265"/>
      <c r="AT48" s="266"/>
      <c r="AU48" s="266"/>
      <c r="AV48" s="266"/>
      <c r="AW48" s="266"/>
      <c r="AX48" s="267"/>
    </row>
    <row r="49" spans="1:40" x14ac:dyDescent="0.3">
      <c r="A49" s="181" t="s">
        <v>180</v>
      </c>
      <c r="M49" s="188"/>
      <c r="P49" s="188"/>
      <c r="Q49" s="188"/>
      <c r="AN49" s="222"/>
    </row>
    <row r="50" spans="1:40" x14ac:dyDescent="0.3">
      <c r="A50" s="181" t="s">
        <v>125</v>
      </c>
      <c r="P50" s="188"/>
      <c r="Q50" s="188"/>
    </row>
    <row r="51" spans="1:40" ht="16.2" thickBot="1" x14ac:dyDescent="0.35">
      <c r="A51" s="181" t="s">
        <v>126</v>
      </c>
      <c r="P51" s="188"/>
      <c r="Q51" s="188"/>
    </row>
    <row r="52" spans="1:40" ht="30.75" customHeight="1" thickBot="1" x14ac:dyDescent="0.35">
      <c r="A52" s="230"/>
      <c r="B52" s="198"/>
      <c r="C52" s="750" t="s">
        <v>127</v>
      </c>
      <c r="D52" s="751"/>
      <c r="E52" s="748" t="s">
        <v>128</v>
      </c>
      <c r="F52" s="749"/>
      <c r="G52" s="746" t="s">
        <v>112</v>
      </c>
      <c r="H52" s="752" t="s">
        <v>129</v>
      </c>
      <c r="I52" s="752" t="s">
        <v>130</v>
      </c>
      <c r="P52" s="188"/>
      <c r="Q52" s="188"/>
    </row>
    <row r="53" spans="1:40" ht="16.2" thickBot="1" x14ac:dyDescent="0.35">
      <c r="A53" s="258"/>
      <c r="B53" s="268"/>
      <c r="C53" s="269" t="s">
        <v>131</v>
      </c>
      <c r="D53" s="178" t="s">
        <v>132</v>
      </c>
      <c r="E53" s="269" t="s">
        <v>131</v>
      </c>
      <c r="F53" s="178" t="s">
        <v>132</v>
      </c>
      <c r="G53" s="747"/>
      <c r="H53" s="753"/>
      <c r="I53" s="753"/>
      <c r="K53" s="402" t="s">
        <v>182</v>
      </c>
      <c r="P53" s="188"/>
      <c r="Q53" s="188"/>
    </row>
    <row r="54" spans="1:40" x14ac:dyDescent="0.3">
      <c r="A54" s="405">
        <v>2018</v>
      </c>
      <c r="B54" s="406" t="s">
        <v>70</v>
      </c>
      <c r="C54" s="232">
        <f>1-D54</f>
        <v>0.61</v>
      </c>
      <c r="D54" s="231">
        <v>0.39</v>
      </c>
      <c r="E54" s="233">
        <v>0.60799999999999998</v>
      </c>
      <c r="F54" s="396">
        <v>0.3</v>
      </c>
      <c r="G54" s="273">
        <f>ROUND(E54*C54+F54*D54,2)</f>
        <v>0.49</v>
      </c>
      <c r="H54" s="496">
        <v>0.5</v>
      </c>
      <c r="I54" s="275">
        <f>ROUND(0.05*2.8+(C54-0.05)*3+D54*3.8,1)</f>
        <v>3.3</v>
      </c>
      <c r="J54" s="290"/>
      <c r="K54" s="181" t="s">
        <v>181</v>
      </c>
      <c r="L54" s="289"/>
      <c r="M54" s="288"/>
      <c r="N54" s="288"/>
      <c r="P54" s="188"/>
      <c r="Q54" s="188"/>
    </row>
    <row r="55" spans="1:40" ht="16.2" thickBot="1" x14ac:dyDescent="0.35">
      <c r="A55" s="407"/>
      <c r="B55" s="404" t="s">
        <v>133</v>
      </c>
      <c r="C55" s="260">
        <v>0.3</v>
      </c>
      <c r="D55" s="397">
        <v>0.7</v>
      </c>
      <c r="E55" s="401">
        <v>0.6</v>
      </c>
      <c r="F55" s="397">
        <v>0.2</v>
      </c>
      <c r="G55" s="279">
        <f t="shared" ref="G55:G61" si="45">ROUND(E55*C55+F55*D55,2)</f>
        <v>0.32</v>
      </c>
      <c r="H55" s="403">
        <v>0.3</v>
      </c>
      <c r="I55" s="281">
        <f>ROUND(2*C55+2.5*D55,1)</f>
        <v>2.4</v>
      </c>
      <c r="J55" s="290"/>
      <c r="K55" s="181" t="s">
        <v>183</v>
      </c>
      <c r="L55" s="288"/>
      <c r="M55" s="288"/>
      <c r="N55" s="288"/>
      <c r="O55" s="288"/>
      <c r="P55" s="188"/>
      <c r="Q55" s="188"/>
    </row>
    <row r="56" spans="1:40" x14ac:dyDescent="0.3">
      <c r="A56" s="230">
        <v>2014</v>
      </c>
      <c r="B56" s="198" t="s">
        <v>70</v>
      </c>
      <c r="C56" s="270">
        <v>0.37</v>
      </c>
      <c r="D56" s="271">
        <v>0.63</v>
      </c>
      <c r="E56" s="398">
        <v>0.61</v>
      </c>
      <c r="F56" s="272">
        <v>0.25</v>
      </c>
      <c r="G56" s="273">
        <f t="shared" si="45"/>
        <v>0.38</v>
      </c>
      <c r="H56" s="274">
        <v>0.4</v>
      </c>
      <c r="I56" s="275">
        <f>ROUND(0.04*2.8+(C56-0.04)*3+D56*3.8,1)</f>
        <v>3.5</v>
      </c>
      <c r="J56" s="290"/>
      <c r="L56" s="288"/>
      <c r="M56" s="288"/>
      <c r="N56" s="288"/>
      <c r="O56" s="288"/>
      <c r="P56" s="188"/>
      <c r="Q56" s="188"/>
    </row>
    <row r="57" spans="1:40" ht="16.2" thickBot="1" x14ac:dyDescent="0.35">
      <c r="A57" s="258"/>
      <c r="B57" s="268" t="s">
        <v>133</v>
      </c>
      <c r="C57" s="276">
        <v>0.25</v>
      </c>
      <c r="D57" s="277">
        <v>0.75</v>
      </c>
      <c r="E57" s="399">
        <v>0.6</v>
      </c>
      <c r="F57" s="278">
        <v>0.15</v>
      </c>
      <c r="G57" s="279">
        <f t="shared" si="45"/>
        <v>0.26</v>
      </c>
      <c r="H57" s="280">
        <v>0.3</v>
      </c>
      <c r="I57" s="281">
        <f>ROUND(2*C57+2.5*D57,1)</f>
        <v>2.4</v>
      </c>
      <c r="J57" s="290"/>
    </row>
    <row r="58" spans="1:40" x14ac:dyDescent="0.3">
      <c r="A58" s="230">
        <v>2010</v>
      </c>
      <c r="B58" s="198" t="s">
        <v>70</v>
      </c>
      <c r="C58" s="270">
        <v>0.15</v>
      </c>
      <c r="D58" s="271">
        <f>1-C58</f>
        <v>0.85</v>
      </c>
      <c r="E58" s="398">
        <v>0.60699999999999998</v>
      </c>
      <c r="F58" s="272">
        <v>0.15</v>
      </c>
      <c r="G58" s="273">
        <f t="shared" si="45"/>
        <v>0.22</v>
      </c>
      <c r="H58" s="274">
        <v>0.2</v>
      </c>
      <c r="I58" s="275">
        <f>ROUND(3*C58+4*D58,1)</f>
        <v>3.9</v>
      </c>
      <c r="J58" s="290"/>
      <c r="P58" s="287"/>
    </row>
    <row r="59" spans="1:40" ht="16.2" thickBot="1" x14ac:dyDescent="0.35">
      <c r="A59" s="258"/>
      <c r="B59" s="268" t="s">
        <v>133</v>
      </c>
      <c r="C59" s="276">
        <v>0.2</v>
      </c>
      <c r="D59" s="277">
        <v>0.8</v>
      </c>
      <c r="E59" s="399">
        <v>0.55000000000000004</v>
      </c>
      <c r="F59" s="278">
        <v>0.1</v>
      </c>
      <c r="G59" s="279">
        <f t="shared" si="45"/>
        <v>0.19</v>
      </c>
      <c r="H59" s="280">
        <v>0.2</v>
      </c>
      <c r="I59" s="281">
        <f>ROUND(2*C59+2.5*D59,1)</f>
        <v>2.4</v>
      </c>
      <c r="J59" s="290"/>
      <c r="O59" s="287"/>
      <c r="P59" s="287"/>
    </row>
    <row r="60" spans="1:40" x14ac:dyDescent="0.3">
      <c r="A60" s="208">
        <v>1990</v>
      </c>
      <c r="B60" s="209" t="s">
        <v>70</v>
      </c>
      <c r="C60" s="282">
        <v>2E-3</v>
      </c>
      <c r="D60" s="283">
        <f>1-C60</f>
        <v>0.998</v>
      </c>
      <c r="E60" s="400">
        <v>0.6</v>
      </c>
      <c r="F60" s="284">
        <v>0.1</v>
      </c>
      <c r="G60" s="285">
        <f t="shared" si="45"/>
        <v>0.1</v>
      </c>
      <c r="H60" s="274">
        <v>0.1</v>
      </c>
      <c r="I60" s="275">
        <f>ROUND(3*C60+4*D60,1)</f>
        <v>4</v>
      </c>
      <c r="J60" s="290"/>
      <c r="O60" s="287"/>
      <c r="P60" s="287"/>
    </row>
    <row r="61" spans="1:40" ht="16.2" thickBot="1" x14ac:dyDescent="0.35">
      <c r="A61" s="258"/>
      <c r="B61" s="268" t="s">
        <v>133</v>
      </c>
      <c r="C61" s="276">
        <v>2E-3</v>
      </c>
      <c r="D61" s="277">
        <f>1-C61</f>
        <v>0.998</v>
      </c>
      <c r="E61" s="399">
        <v>0.5</v>
      </c>
      <c r="F61" s="278">
        <v>0.1</v>
      </c>
      <c r="G61" s="279">
        <f t="shared" si="45"/>
        <v>0.1</v>
      </c>
      <c r="H61" s="280">
        <v>0.1</v>
      </c>
      <c r="I61" s="281">
        <f>ROUND(2*C61+2.5*D61,1)</f>
        <v>2.5</v>
      </c>
      <c r="J61" s="290"/>
      <c r="O61" s="287"/>
      <c r="P61" s="287"/>
    </row>
    <row r="62" spans="1:40" x14ac:dyDescent="0.3">
      <c r="A62" s="189" t="s">
        <v>134</v>
      </c>
      <c r="O62" s="287"/>
      <c r="P62" s="287"/>
    </row>
    <row r="63" spans="1:40" x14ac:dyDescent="0.3">
      <c r="A63" s="181" t="s">
        <v>135</v>
      </c>
      <c r="C63" s="489">
        <v>1.0878099999999999</v>
      </c>
      <c r="H63" s="288"/>
      <c r="I63" s="288"/>
      <c r="J63" s="288"/>
      <c r="K63" s="288"/>
      <c r="O63" s="287"/>
      <c r="P63" s="287"/>
    </row>
    <row r="64" spans="1:40" x14ac:dyDescent="0.3">
      <c r="A64" s="181" t="s">
        <v>136</v>
      </c>
      <c r="C64" s="489">
        <v>2.1283300000000001</v>
      </c>
      <c r="I64" s="288"/>
      <c r="J64" s="288"/>
      <c r="K64" s="288"/>
      <c r="O64" s="287"/>
      <c r="P64" s="287"/>
    </row>
    <row r="65" spans="1:26" x14ac:dyDescent="0.3">
      <c r="A65" s="181" t="s">
        <v>137</v>
      </c>
      <c r="C65" s="489">
        <v>1.0793699999999999</v>
      </c>
      <c r="J65" s="287"/>
      <c r="O65" s="287"/>
      <c r="P65" s="287"/>
    </row>
    <row r="66" spans="1:26" x14ac:dyDescent="0.3">
      <c r="A66" s="181" t="s">
        <v>138</v>
      </c>
      <c r="C66" s="289">
        <v>0.9</v>
      </c>
      <c r="I66" s="287"/>
      <c r="J66" s="287"/>
      <c r="O66" s="287"/>
      <c r="P66" s="287"/>
    </row>
    <row r="67" spans="1:26" x14ac:dyDescent="0.3">
      <c r="A67" s="181" t="s">
        <v>139</v>
      </c>
      <c r="C67" s="289">
        <v>0.5</v>
      </c>
      <c r="I67" s="287"/>
      <c r="J67" s="287"/>
      <c r="O67" s="287"/>
      <c r="P67" s="287"/>
    </row>
    <row r="68" spans="1:26" x14ac:dyDescent="0.3">
      <c r="C68" s="286"/>
      <c r="I68" s="287"/>
      <c r="J68" s="287"/>
      <c r="O68" s="287"/>
      <c r="P68" s="287"/>
    </row>
    <row r="69" spans="1:26" x14ac:dyDescent="0.3">
      <c r="I69" s="287"/>
      <c r="J69" s="287"/>
      <c r="O69" s="287"/>
      <c r="P69" s="287"/>
    </row>
    <row r="70" spans="1:26" x14ac:dyDescent="0.3">
      <c r="I70" s="287"/>
      <c r="J70" s="287"/>
      <c r="O70" s="287"/>
      <c r="P70" s="287"/>
    </row>
    <row r="71" spans="1:26" x14ac:dyDescent="0.3">
      <c r="O71" s="287"/>
      <c r="P71" s="287"/>
    </row>
    <row r="78" spans="1:26" x14ac:dyDescent="0.3">
      <c r="P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3"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3"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6:26" x14ac:dyDescent="0.3"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6:26" x14ac:dyDescent="0.3"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6:26" x14ac:dyDescent="0.3"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6:26" x14ac:dyDescent="0.3"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6:26" x14ac:dyDescent="0.3"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6:26" x14ac:dyDescent="0.3"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6:26" x14ac:dyDescent="0.3"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6:26" x14ac:dyDescent="0.3"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6:26" x14ac:dyDescent="0.3"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6:26" x14ac:dyDescent="0.3"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6:26" x14ac:dyDescent="0.3"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6:26" x14ac:dyDescent="0.3"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</sheetData>
  <mergeCells count="53"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  <mergeCell ref="BH4:BH6"/>
    <mergeCell ref="BE3:BH3"/>
    <mergeCell ref="BB4:BB6"/>
    <mergeCell ref="BC4:BC6"/>
    <mergeCell ref="BA4:BA6"/>
    <mergeCell ref="BD4:BD6"/>
    <mergeCell ref="BA3:BD3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C52:D52"/>
    <mergeCell ref="E52:F52"/>
    <mergeCell ref="G52:G53"/>
    <mergeCell ref="H52:H53"/>
    <mergeCell ref="I52:I53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3" zoomScale="80" zoomScaleNormal="80" workbookViewId="0">
      <selection activeCell="L16" sqref="L16"/>
    </sheetView>
  </sheetViews>
  <sheetFormatPr defaultRowHeight="15.6" x14ac:dyDescent="0.3"/>
  <cols>
    <col min="1" max="1" width="23.19921875" style="181" customWidth="1"/>
    <col min="2" max="4" width="6.8984375" style="181" bestFit="1" customWidth="1"/>
    <col min="5" max="5" width="6.8984375" style="288" bestFit="1" customWidth="1"/>
    <col min="6" max="8" width="9.59765625" style="181" bestFit="1" customWidth="1"/>
    <col min="9" max="9" width="12.296875" style="181" bestFit="1" customWidth="1"/>
    <col min="10" max="10" width="15.796875" style="288" bestFit="1" customWidth="1"/>
    <col min="11" max="12" width="16.5" style="288" customWidth="1"/>
    <col min="13" max="14" width="8.796875" style="181"/>
    <col min="15" max="15" width="7.59765625" style="181" bestFit="1" customWidth="1"/>
    <col min="16" max="16" width="7.296875" style="181" bestFit="1" customWidth="1"/>
    <col min="17" max="17" width="5.3984375" style="181" bestFit="1" customWidth="1"/>
    <col min="18" max="18" width="7.59765625" style="181" bestFit="1" customWidth="1"/>
    <col min="19" max="19" width="7.296875" style="181" bestFit="1" customWidth="1"/>
    <col min="20" max="20" width="5.8984375" style="181" bestFit="1" customWidth="1"/>
    <col min="21" max="23" width="8" style="181" customWidth="1"/>
    <col min="24" max="24" width="7.59765625" style="181" bestFit="1" customWidth="1"/>
    <col min="25" max="25" width="7.296875" style="181" bestFit="1" customWidth="1"/>
    <col min="26" max="26" width="6.8984375" style="181" bestFit="1" customWidth="1"/>
    <col min="27" max="27" width="7.59765625" style="181" bestFit="1" customWidth="1"/>
    <col min="28" max="28" width="7.296875" style="181" bestFit="1" customWidth="1"/>
    <col min="29" max="29" width="6.8984375" style="181" bestFit="1" customWidth="1"/>
    <col min="30" max="259" width="8.796875" style="181"/>
    <col min="260" max="260" width="23.19921875" style="181" customWidth="1"/>
    <col min="261" max="267" width="8.796875" style="181"/>
    <col min="268" max="268" width="15.59765625" style="181" bestFit="1" customWidth="1"/>
    <col min="269" max="515" width="8.796875" style="181"/>
    <col min="516" max="516" width="23.19921875" style="181" customWidth="1"/>
    <col min="517" max="523" width="8.796875" style="181"/>
    <col min="524" max="524" width="15.59765625" style="181" bestFit="1" customWidth="1"/>
    <col min="525" max="771" width="8.796875" style="181"/>
    <col min="772" max="772" width="23.19921875" style="181" customWidth="1"/>
    <col min="773" max="779" width="8.796875" style="181"/>
    <col min="780" max="780" width="15.59765625" style="181" bestFit="1" customWidth="1"/>
    <col min="781" max="1027" width="8.796875" style="181"/>
    <col min="1028" max="1028" width="23.19921875" style="181" customWidth="1"/>
    <col min="1029" max="1035" width="8.796875" style="181"/>
    <col min="1036" max="1036" width="15.59765625" style="181" bestFit="1" customWidth="1"/>
    <col min="1037" max="1283" width="8.796875" style="181"/>
    <col min="1284" max="1284" width="23.19921875" style="181" customWidth="1"/>
    <col min="1285" max="1291" width="8.796875" style="181"/>
    <col min="1292" max="1292" width="15.59765625" style="181" bestFit="1" customWidth="1"/>
    <col min="1293" max="1539" width="8.796875" style="181"/>
    <col min="1540" max="1540" width="23.19921875" style="181" customWidth="1"/>
    <col min="1541" max="1547" width="8.796875" style="181"/>
    <col min="1548" max="1548" width="15.59765625" style="181" bestFit="1" customWidth="1"/>
    <col min="1549" max="1795" width="8.796875" style="181"/>
    <col min="1796" max="1796" width="23.19921875" style="181" customWidth="1"/>
    <col min="1797" max="1803" width="8.796875" style="181"/>
    <col min="1804" max="1804" width="15.59765625" style="181" bestFit="1" customWidth="1"/>
    <col min="1805" max="2051" width="8.796875" style="181"/>
    <col min="2052" max="2052" width="23.19921875" style="181" customWidth="1"/>
    <col min="2053" max="2059" width="8.796875" style="181"/>
    <col min="2060" max="2060" width="15.59765625" style="181" bestFit="1" customWidth="1"/>
    <col min="2061" max="2307" width="8.796875" style="181"/>
    <col min="2308" max="2308" width="23.19921875" style="181" customWidth="1"/>
    <col min="2309" max="2315" width="8.796875" style="181"/>
    <col min="2316" max="2316" width="15.59765625" style="181" bestFit="1" customWidth="1"/>
    <col min="2317" max="2563" width="8.796875" style="181"/>
    <col min="2564" max="2564" width="23.19921875" style="181" customWidth="1"/>
    <col min="2565" max="2571" width="8.796875" style="181"/>
    <col min="2572" max="2572" width="15.59765625" style="181" bestFit="1" customWidth="1"/>
    <col min="2573" max="2819" width="8.796875" style="181"/>
    <col min="2820" max="2820" width="23.19921875" style="181" customWidth="1"/>
    <col min="2821" max="2827" width="8.796875" style="181"/>
    <col min="2828" max="2828" width="15.59765625" style="181" bestFit="1" customWidth="1"/>
    <col min="2829" max="3075" width="8.796875" style="181"/>
    <col min="3076" max="3076" width="23.19921875" style="181" customWidth="1"/>
    <col min="3077" max="3083" width="8.796875" style="181"/>
    <col min="3084" max="3084" width="15.59765625" style="181" bestFit="1" customWidth="1"/>
    <col min="3085" max="3331" width="8.796875" style="181"/>
    <col min="3332" max="3332" width="23.19921875" style="181" customWidth="1"/>
    <col min="3333" max="3339" width="8.796875" style="181"/>
    <col min="3340" max="3340" width="15.59765625" style="181" bestFit="1" customWidth="1"/>
    <col min="3341" max="3587" width="8.796875" style="181"/>
    <col min="3588" max="3588" width="23.19921875" style="181" customWidth="1"/>
    <col min="3589" max="3595" width="8.796875" style="181"/>
    <col min="3596" max="3596" width="15.59765625" style="181" bestFit="1" customWidth="1"/>
    <col min="3597" max="3843" width="8.796875" style="181"/>
    <col min="3844" max="3844" width="23.19921875" style="181" customWidth="1"/>
    <col min="3845" max="3851" width="8.796875" style="181"/>
    <col min="3852" max="3852" width="15.59765625" style="181" bestFit="1" customWidth="1"/>
    <col min="3853" max="4099" width="8.796875" style="181"/>
    <col min="4100" max="4100" width="23.19921875" style="181" customWidth="1"/>
    <col min="4101" max="4107" width="8.796875" style="181"/>
    <col min="4108" max="4108" width="15.59765625" style="181" bestFit="1" customWidth="1"/>
    <col min="4109" max="4355" width="8.796875" style="181"/>
    <col min="4356" max="4356" width="23.19921875" style="181" customWidth="1"/>
    <col min="4357" max="4363" width="8.796875" style="181"/>
    <col min="4364" max="4364" width="15.59765625" style="181" bestFit="1" customWidth="1"/>
    <col min="4365" max="4611" width="8.796875" style="181"/>
    <col min="4612" max="4612" width="23.19921875" style="181" customWidth="1"/>
    <col min="4613" max="4619" width="8.796875" style="181"/>
    <col min="4620" max="4620" width="15.59765625" style="181" bestFit="1" customWidth="1"/>
    <col min="4621" max="4867" width="8.796875" style="181"/>
    <col min="4868" max="4868" width="23.19921875" style="181" customWidth="1"/>
    <col min="4869" max="4875" width="8.796875" style="181"/>
    <col min="4876" max="4876" width="15.59765625" style="181" bestFit="1" customWidth="1"/>
    <col min="4877" max="5123" width="8.796875" style="181"/>
    <col min="5124" max="5124" width="23.19921875" style="181" customWidth="1"/>
    <col min="5125" max="5131" width="8.796875" style="181"/>
    <col min="5132" max="5132" width="15.59765625" style="181" bestFit="1" customWidth="1"/>
    <col min="5133" max="5379" width="8.796875" style="181"/>
    <col min="5380" max="5380" width="23.19921875" style="181" customWidth="1"/>
    <col min="5381" max="5387" width="8.796875" style="181"/>
    <col min="5388" max="5388" width="15.59765625" style="181" bestFit="1" customWidth="1"/>
    <col min="5389" max="5635" width="8.796875" style="181"/>
    <col min="5636" max="5636" width="23.19921875" style="181" customWidth="1"/>
    <col min="5637" max="5643" width="8.796875" style="181"/>
    <col min="5644" max="5644" width="15.59765625" style="181" bestFit="1" customWidth="1"/>
    <col min="5645" max="5891" width="8.796875" style="181"/>
    <col min="5892" max="5892" width="23.19921875" style="181" customWidth="1"/>
    <col min="5893" max="5899" width="8.796875" style="181"/>
    <col min="5900" max="5900" width="15.59765625" style="181" bestFit="1" customWidth="1"/>
    <col min="5901" max="6147" width="8.796875" style="181"/>
    <col min="6148" max="6148" width="23.19921875" style="181" customWidth="1"/>
    <col min="6149" max="6155" width="8.796875" style="181"/>
    <col min="6156" max="6156" width="15.59765625" style="181" bestFit="1" customWidth="1"/>
    <col min="6157" max="6403" width="8.796875" style="181"/>
    <col min="6404" max="6404" width="23.19921875" style="181" customWidth="1"/>
    <col min="6405" max="6411" width="8.796875" style="181"/>
    <col min="6412" max="6412" width="15.59765625" style="181" bestFit="1" customWidth="1"/>
    <col min="6413" max="6659" width="8.796875" style="181"/>
    <col min="6660" max="6660" width="23.19921875" style="181" customWidth="1"/>
    <col min="6661" max="6667" width="8.796875" style="181"/>
    <col min="6668" max="6668" width="15.59765625" style="181" bestFit="1" customWidth="1"/>
    <col min="6669" max="6915" width="8.796875" style="181"/>
    <col min="6916" max="6916" width="23.19921875" style="181" customWidth="1"/>
    <col min="6917" max="6923" width="8.796875" style="181"/>
    <col min="6924" max="6924" width="15.59765625" style="181" bestFit="1" customWidth="1"/>
    <col min="6925" max="7171" width="8.796875" style="181"/>
    <col min="7172" max="7172" width="23.19921875" style="181" customWidth="1"/>
    <col min="7173" max="7179" width="8.796875" style="181"/>
    <col min="7180" max="7180" width="15.59765625" style="181" bestFit="1" customWidth="1"/>
    <col min="7181" max="7427" width="8.796875" style="181"/>
    <col min="7428" max="7428" width="23.19921875" style="181" customWidth="1"/>
    <col min="7429" max="7435" width="8.796875" style="181"/>
    <col min="7436" max="7436" width="15.59765625" style="181" bestFit="1" customWidth="1"/>
    <col min="7437" max="7683" width="8.796875" style="181"/>
    <col min="7684" max="7684" width="23.19921875" style="181" customWidth="1"/>
    <col min="7685" max="7691" width="8.796875" style="181"/>
    <col min="7692" max="7692" width="15.59765625" style="181" bestFit="1" customWidth="1"/>
    <col min="7693" max="7939" width="8.796875" style="181"/>
    <col min="7940" max="7940" width="23.19921875" style="181" customWidth="1"/>
    <col min="7941" max="7947" width="8.796875" style="181"/>
    <col min="7948" max="7948" width="15.59765625" style="181" bestFit="1" customWidth="1"/>
    <col min="7949" max="8195" width="8.796875" style="181"/>
    <col min="8196" max="8196" width="23.19921875" style="181" customWidth="1"/>
    <col min="8197" max="8203" width="8.796875" style="181"/>
    <col min="8204" max="8204" width="15.59765625" style="181" bestFit="1" customWidth="1"/>
    <col min="8205" max="8451" width="8.796875" style="181"/>
    <col min="8452" max="8452" width="23.19921875" style="181" customWidth="1"/>
    <col min="8453" max="8459" width="8.796875" style="181"/>
    <col min="8460" max="8460" width="15.59765625" style="181" bestFit="1" customWidth="1"/>
    <col min="8461" max="8707" width="8.796875" style="181"/>
    <col min="8708" max="8708" width="23.19921875" style="181" customWidth="1"/>
    <col min="8709" max="8715" width="8.796875" style="181"/>
    <col min="8716" max="8716" width="15.59765625" style="181" bestFit="1" customWidth="1"/>
    <col min="8717" max="8963" width="8.796875" style="181"/>
    <col min="8964" max="8964" width="23.19921875" style="181" customWidth="1"/>
    <col min="8965" max="8971" width="8.796875" style="181"/>
    <col min="8972" max="8972" width="15.59765625" style="181" bestFit="1" customWidth="1"/>
    <col min="8973" max="9219" width="8.796875" style="181"/>
    <col min="9220" max="9220" width="23.19921875" style="181" customWidth="1"/>
    <col min="9221" max="9227" width="8.796875" style="181"/>
    <col min="9228" max="9228" width="15.59765625" style="181" bestFit="1" customWidth="1"/>
    <col min="9229" max="9475" width="8.796875" style="181"/>
    <col min="9476" max="9476" width="23.19921875" style="181" customWidth="1"/>
    <col min="9477" max="9483" width="8.796875" style="181"/>
    <col min="9484" max="9484" width="15.59765625" style="181" bestFit="1" customWidth="1"/>
    <col min="9485" max="9731" width="8.796875" style="181"/>
    <col min="9732" max="9732" width="23.19921875" style="181" customWidth="1"/>
    <col min="9733" max="9739" width="8.796875" style="181"/>
    <col min="9740" max="9740" width="15.59765625" style="181" bestFit="1" customWidth="1"/>
    <col min="9741" max="9987" width="8.796875" style="181"/>
    <col min="9988" max="9988" width="23.19921875" style="181" customWidth="1"/>
    <col min="9989" max="9995" width="8.796875" style="181"/>
    <col min="9996" max="9996" width="15.59765625" style="181" bestFit="1" customWidth="1"/>
    <col min="9997" max="10243" width="8.796875" style="181"/>
    <col min="10244" max="10244" width="23.19921875" style="181" customWidth="1"/>
    <col min="10245" max="10251" width="8.796875" style="181"/>
    <col min="10252" max="10252" width="15.59765625" style="181" bestFit="1" customWidth="1"/>
    <col min="10253" max="10499" width="8.796875" style="181"/>
    <col min="10500" max="10500" width="23.19921875" style="181" customWidth="1"/>
    <col min="10501" max="10507" width="8.796875" style="181"/>
    <col min="10508" max="10508" width="15.59765625" style="181" bestFit="1" customWidth="1"/>
    <col min="10509" max="10755" width="8.796875" style="181"/>
    <col min="10756" max="10756" width="23.19921875" style="181" customWidth="1"/>
    <col min="10757" max="10763" width="8.796875" style="181"/>
    <col min="10764" max="10764" width="15.59765625" style="181" bestFit="1" customWidth="1"/>
    <col min="10765" max="11011" width="8.796875" style="181"/>
    <col min="11012" max="11012" width="23.19921875" style="181" customWidth="1"/>
    <col min="11013" max="11019" width="8.796875" style="181"/>
    <col min="11020" max="11020" width="15.59765625" style="181" bestFit="1" customWidth="1"/>
    <col min="11021" max="11267" width="8.796875" style="181"/>
    <col min="11268" max="11268" width="23.19921875" style="181" customWidth="1"/>
    <col min="11269" max="11275" width="8.796875" style="181"/>
    <col min="11276" max="11276" width="15.59765625" style="181" bestFit="1" customWidth="1"/>
    <col min="11277" max="11523" width="8.796875" style="181"/>
    <col min="11524" max="11524" width="23.19921875" style="181" customWidth="1"/>
    <col min="11525" max="11531" width="8.796875" style="181"/>
    <col min="11532" max="11532" width="15.59765625" style="181" bestFit="1" customWidth="1"/>
    <col min="11533" max="11779" width="8.796875" style="181"/>
    <col min="11780" max="11780" width="23.19921875" style="181" customWidth="1"/>
    <col min="11781" max="11787" width="8.796875" style="181"/>
    <col min="11788" max="11788" width="15.59765625" style="181" bestFit="1" customWidth="1"/>
    <col min="11789" max="12035" width="8.796875" style="181"/>
    <col min="12036" max="12036" width="23.19921875" style="181" customWidth="1"/>
    <col min="12037" max="12043" width="8.796875" style="181"/>
    <col min="12044" max="12044" width="15.59765625" style="181" bestFit="1" customWidth="1"/>
    <col min="12045" max="12291" width="8.796875" style="181"/>
    <col min="12292" max="12292" width="23.19921875" style="181" customWidth="1"/>
    <col min="12293" max="12299" width="8.796875" style="181"/>
    <col min="12300" max="12300" width="15.59765625" style="181" bestFit="1" customWidth="1"/>
    <col min="12301" max="12547" width="8.796875" style="181"/>
    <col min="12548" max="12548" width="23.19921875" style="181" customWidth="1"/>
    <col min="12549" max="12555" width="8.796875" style="181"/>
    <col min="12556" max="12556" width="15.59765625" style="181" bestFit="1" customWidth="1"/>
    <col min="12557" max="12803" width="8.796875" style="181"/>
    <col min="12804" max="12804" width="23.19921875" style="181" customWidth="1"/>
    <col min="12805" max="12811" width="8.796875" style="181"/>
    <col min="12812" max="12812" width="15.59765625" style="181" bestFit="1" customWidth="1"/>
    <col min="12813" max="13059" width="8.796875" style="181"/>
    <col min="13060" max="13060" width="23.19921875" style="181" customWidth="1"/>
    <col min="13061" max="13067" width="8.796875" style="181"/>
    <col min="13068" max="13068" width="15.59765625" style="181" bestFit="1" customWidth="1"/>
    <col min="13069" max="13315" width="8.796875" style="181"/>
    <col min="13316" max="13316" width="23.19921875" style="181" customWidth="1"/>
    <col min="13317" max="13323" width="8.796875" style="181"/>
    <col min="13324" max="13324" width="15.59765625" style="181" bestFit="1" customWidth="1"/>
    <col min="13325" max="13571" width="8.796875" style="181"/>
    <col min="13572" max="13572" width="23.19921875" style="181" customWidth="1"/>
    <col min="13573" max="13579" width="8.796875" style="181"/>
    <col min="13580" max="13580" width="15.59765625" style="181" bestFit="1" customWidth="1"/>
    <col min="13581" max="13827" width="8.796875" style="181"/>
    <col min="13828" max="13828" width="23.19921875" style="181" customWidth="1"/>
    <col min="13829" max="13835" width="8.796875" style="181"/>
    <col min="13836" max="13836" width="15.59765625" style="181" bestFit="1" customWidth="1"/>
    <col min="13837" max="14083" width="8.796875" style="181"/>
    <col min="14084" max="14084" width="23.19921875" style="181" customWidth="1"/>
    <col min="14085" max="14091" width="8.796875" style="181"/>
    <col min="14092" max="14092" width="15.59765625" style="181" bestFit="1" customWidth="1"/>
    <col min="14093" max="14339" width="8.796875" style="181"/>
    <col min="14340" max="14340" width="23.19921875" style="181" customWidth="1"/>
    <col min="14341" max="14347" width="8.796875" style="181"/>
    <col min="14348" max="14348" width="15.59765625" style="181" bestFit="1" customWidth="1"/>
    <col min="14349" max="14595" width="8.796875" style="181"/>
    <col min="14596" max="14596" width="23.19921875" style="181" customWidth="1"/>
    <col min="14597" max="14603" width="8.796875" style="181"/>
    <col min="14604" max="14604" width="15.59765625" style="181" bestFit="1" customWidth="1"/>
    <col min="14605" max="14851" width="8.796875" style="181"/>
    <col min="14852" max="14852" width="23.19921875" style="181" customWidth="1"/>
    <col min="14853" max="14859" width="8.796875" style="181"/>
    <col min="14860" max="14860" width="15.59765625" style="181" bestFit="1" customWidth="1"/>
    <col min="14861" max="15107" width="8.796875" style="181"/>
    <col min="15108" max="15108" width="23.19921875" style="181" customWidth="1"/>
    <col min="15109" max="15115" width="8.796875" style="181"/>
    <col min="15116" max="15116" width="15.59765625" style="181" bestFit="1" customWidth="1"/>
    <col min="15117" max="15363" width="8.796875" style="181"/>
    <col min="15364" max="15364" width="23.19921875" style="181" customWidth="1"/>
    <col min="15365" max="15371" width="8.796875" style="181"/>
    <col min="15372" max="15372" width="15.59765625" style="181" bestFit="1" customWidth="1"/>
    <col min="15373" max="15619" width="8.796875" style="181"/>
    <col min="15620" max="15620" width="23.19921875" style="181" customWidth="1"/>
    <col min="15621" max="15627" width="8.796875" style="181"/>
    <col min="15628" max="15628" width="15.59765625" style="181" bestFit="1" customWidth="1"/>
    <col min="15629" max="15875" width="8.796875" style="181"/>
    <col min="15876" max="15876" width="23.19921875" style="181" customWidth="1"/>
    <col min="15877" max="15883" width="8.796875" style="181"/>
    <col min="15884" max="15884" width="15.59765625" style="181" bestFit="1" customWidth="1"/>
    <col min="15885" max="16131" width="8.796875" style="181"/>
    <col min="16132" max="16132" width="23.19921875" style="181" customWidth="1"/>
    <col min="16133" max="16139" width="8.796875" style="181"/>
    <col min="16140" max="16140" width="15.59765625" style="181" bestFit="1" customWidth="1"/>
    <col min="16141" max="16384" width="8.796875" style="181"/>
  </cols>
  <sheetData>
    <row r="1" spans="1:32" x14ac:dyDescent="0.3">
      <c r="A1" s="197" t="s">
        <v>148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32" ht="16.2" thickBot="1" x14ac:dyDescent="0.35">
      <c r="A2" s="192"/>
      <c r="B2" s="204"/>
      <c r="C2" s="204"/>
      <c r="D2" s="204"/>
      <c r="E2" s="204"/>
      <c r="F2" s="192"/>
      <c r="G2" s="192"/>
      <c r="H2" s="192"/>
      <c r="I2" s="192"/>
      <c r="J2" s="192"/>
      <c r="K2" s="192"/>
      <c r="L2" s="192"/>
    </row>
    <row r="3" spans="1:32" ht="16.2" thickBot="1" x14ac:dyDescent="0.35">
      <c r="A3" s="772"/>
      <c r="B3" s="798" t="s">
        <v>88</v>
      </c>
      <c r="C3" s="795"/>
      <c r="D3" s="795"/>
      <c r="E3" s="796"/>
      <c r="F3" s="766" t="s">
        <v>89</v>
      </c>
      <c r="G3" s="767"/>
      <c r="H3" s="768"/>
      <c r="I3" s="766" t="s">
        <v>270</v>
      </c>
      <c r="J3" s="768"/>
      <c r="K3" s="192"/>
      <c r="L3" s="713"/>
      <c r="AD3" s="288"/>
      <c r="AE3" s="288"/>
      <c r="AF3" s="288"/>
    </row>
    <row r="4" spans="1:32" ht="16.2" thickBot="1" x14ac:dyDescent="0.35">
      <c r="A4" s="797"/>
      <c r="B4" s="212">
        <v>1992</v>
      </c>
      <c r="C4" s="213">
        <v>2002</v>
      </c>
      <c r="D4" s="213">
        <v>2012</v>
      </c>
      <c r="E4" s="214">
        <v>2018</v>
      </c>
      <c r="F4" s="198" t="s">
        <v>90</v>
      </c>
      <c r="G4" s="198" t="s">
        <v>140</v>
      </c>
      <c r="H4" s="198" t="s">
        <v>191</v>
      </c>
      <c r="I4" s="712" t="s">
        <v>271</v>
      </c>
      <c r="J4" s="178" t="s">
        <v>272</v>
      </c>
      <c r="K4" s="192"/>
      <c r="L4" s="713"/>
      <c r="N4" s="336"/>
      <c r="O4" s="766" t="s">
        <v>221</v>
      </c>
      <c r="P4" s="767"/>
      <c r="Q4" s="768"/>
      <c r="R4" s="766" t="s">
        <v>192</v>
      </c>
      <c r="S4" s="767"/>
      <c r="T4" s="768"/>
      <c r="U4" s="766" t="s">
        <v>222</v>
      </c>
      <c r="V4" s="767"/>
      <c r="W4" s="768"/>
      <c r="X4" s="766" t="s">
        <v>223</v>
      </c>
      <c r="Y4" s="767"/>
      <c r="Z4" s="768"/>
      <c r="AD4" s="288"/>
      <c r="AE4" s="288"/>
      <c r="AF4" s="288"/>
    </row>
    <row r="5" spans="1:32" ht="16.2" thickBot="1" x14ac:dyDescent="0.35">
      <c r="A5" s="230" t="s">
        <v>91</v>
      </c>
      <c r="B5" s="300">
        <v>68450.100000000006</v>
      </c>
      <c r="C5" s="301">
        <v>79537.700000000012</v>
      </c>
      <c r="D5" s="301">
        <v>88772.9</v>
      </c>
      <c r="E5" s="415">
        <v>94666</v>
      </c>
      <c r="F5" s="319">
        <f t="shared" ref="F5:G8" si="0">(C5/B5)^(1/10)*100-100</f>
        <v>1.5125866331876523</v>
      </c>
      <c r="G5" s="298">
        <f t="shared" si="0"/>
        <v>1.1045586993965344</v>
      </c>
      <c r="H5" s="308">
        <f>(E5/D5)^(1/6)*100-100</f>
        <v>1.0769828875964151</v>
      </c>
      <c r="I5" s="539">
        <v>1.05</v>
      </c>
      <c r="J5" s="539"/>
      <c r="K5" s="714"/>
      <c r="L5" s="714"/>
      <c r="N5" s="211"/>
      <c r="O5" s="328" t="s">
        <v>141</v>
      </c>
      <c r="P5" s="329" t="s">
        <v>142</v>
      </c>
      <c r="Q5" s="310" t="s">
        <v>143</v>
      </c>
      <c r="R5" s="329" t="s">
        <v>141</v>
      </c>
      <c r="S5" s="295" t="s">
        <v>142</v>
      </c>
      <c r="T5" s="310" t="s">
        <v>143</v>
      </c>
      <c r="U5" s="413" t="s">
        <v>141</v>
      </c>
      <c r="V5" s="413" t="s">
        <v>142</v>
      </c>
      <c r="W5" s="439" t="s">
        <v>143</v>
      </c>
      <c r="X5" s="499" t="s">
        <v>141</v>
      </c>
      <c r="Y5" s="500" t="s">
        <v>142</v>
      </c>
      <c r="Z5" s="310" t="s">
        <v>143</v>
      </c>
      <c r="AD5" s="288"/>
      <c r="AE5" s="288"/>
      <c r="AF5" s="288"/>
    </row>
    <row r="6" spans="1:32" x14ac:dyDescent="0.3">
      <c r="A6" s="208" t="s">
        <v>92</v>
      </c>
      <c r="B6" s="302">
        <v>151782</v>
      </c>
      <c r="C6" s="303">
        <v>313247</v>
      </c>
      <c r="D6" s="303">
        <v>615570.22456019814</v>
      </c>
      <c r="E6" s="416">
        <v>891829.96284852363</v>
      </c>
      <c r="F6" s="306">
        <f t="shared" si="0"/>
        <v>7.5144072560313475</v>
      </c>
      <c r="G6" s="299">
        <f t="shared" si="0"/>
        <v>6.9889852506115773</v>
      </c>
      <c r="H6" s="307">
        <f>(E6/D6)^(1/6)*100-100</f>
        <v>6.3736535090337867</v>
      </c>
      <c r="I6" s="318">
        <v>6</v>
      </c>
      <c r="J6" s="318"/>
      <c r="K6" s="714"/>
      <c r="L6" s="714"/>
      <c r="N6" s="336" t="s">
        <v>0</v>
      </c>
      <c r="O6" s="422">
        <v>3.9700000000000006E-2</v>
      </c>
      <c r="P6" s="423">
        <v>4.3099999999999999E-2</v>
      </c>
      <c r="Q6" s="424">
        <v>4.4200000000000003E-2</v>
      </c>
      <c r="R6" s="434">
        <v>2284</v>
      </c>
      <c r="S6" s="434">
        <v>10008.799999999999</v>
      </c>
      <c r="T6" s="528">
        <v>12292.8</v>
      </c>
      <c r="U6" s="516">
        <v>2.3109000000000002</v>
      </c>
      <c r="V6" s="517">
        <v>0.73619999999999997</v>
      </c>
      <c r="W6" s="518">
        <f t="shared" ref="W6:W13" si="1">(Z6/T6)^(1/12)*100-100</f>
        <v>1.0498638287847371</v>
      </c>
      <c r="X6" s="203">
        <f t="shared" ref="X6:Y12" si="2">R6*(1+0.01*U6)^12</f>
        <v>3004.4083488231504</v>
      </c>
      <c r="Y6" s="204">
        <f t="shared" si="2"/>
        <v>10929.713603443335</v>
      </c>
      <c r="Z6" s="205">
        <f>SUM(X6:Y6)</f>
        <v>13934.121952266485</v>
      </c>
      <c r="AD6" s="288"/>
      <c r="AE6" s="290"/>
      <c r="AF6" s="288"/>
    </row>
    <row r="7" spans="1:32" x14ac:dyDescent="0.3">
      <c r="A7" s="208" t="s">
        <v>93</v>
      </c>
      <c r="B7" s="304">
        <f>B6/B5</f>
        <v>2.2174109314668642</v>
      </c>
      <c r="C7" s="305">
        <f>C6/C5</f>
        <v>3.9383462182084714</v>
      </c>
      <c r="D7" s="305">
        <f>D6/D5</f>
        <v>6.9342133078923656</v>
      </c>
      <c r="E7" s="417">
        <f>E6/E5</f>
        <v>9.4208053878744593</v>
      </c>
      <c r="F7" s="306">
        <f t="shared" si="0"/>
        <v>5.9123905930316312</v>
      </c>
      <c r="G7" s="299">
        <f t="shared" si="0"/>
        <v>5.8201396919308053</v>
      </c>
      <c r="H7" s="307">
        <f>(E7/D7)^(1/6)*100-100</f>
        <v>5.2402341958777754</v>
      </c>
      <c r="I7" s="318">
        <v>5</v>
      </c>
      <c r="J7" s="318">
        <v>7.5</v>
      </c>
      <c r="K7" s="714"/>
      <c r="L7" s="714"/>
      <c r="N7" s="202" t="s">
        <v>1</v>
      </c>
      <c r="O7" s="425">
        <v>4.1700000000000001E-2</v>
      </c>
      <c r="P7" s="426">
        <v>5.3600000000000002E-2</v>
      </c>
      <c r="Q7" s="427">
        <v>5.4800000000000008E-2</v>
      </c>
      <c r="R7" s="435">
        <v>8719.7999999999993</v>
      </c>
      <c r="S7" s="435">
        <v>12846.600000000002</v>
      </c>
      <c r="T7" s="528">
        <v>21566.400000000001</v>
      </c>
      <c r="U7" s="519">
        <v>3.9738000000000002</v>
      </c>
      <c r="V7" s="520">
        <v>-0.62439999999999996</v>
      </c>
      <c r="W7" s="521">
        <f t="shared" si="1"/>
        <v>1.5163094776111024</v>
      </c>
      <c r="X7" s="203">
        <f t="shared" si="2"/>
        <v>13918.534955796418</v>
      </c>
      <c r="Y7" s="204">
        <f t="shared" si="2"/>
        <v>11916.408088142718</v>
      </c>
      <c r="Z7" s="205">
        <f t="shared" ref="Z7:Z12" si="3">SUM(X7:Y7)</f>
        <v>25834.943043939136</v>
      </c>
      <c r="AD7" s="288"/>
      <c r="AE7" s="290"/>
      <c r="AF7" s="288"/>
    </row>
    <row r="8" spans="1:32" ht="16.2" thickBot="1" x14ac:dyDescent="0.35">
      <c r="A8" s="258" t="s">
        <v>94</v>
      </c>
      <c r="B8" s="338">
        <v>11200</v>
      </c>
      <c r="C8" s="339">
        <v>15279</v>
      </c>
      <c r="D8" s="339">
        <v>20894</v>
      </c>
      <c r="E8" s="414">
        <v>23000</v>
      </c>
      <c r="F8" s="340">
        <f t="shared" si="0"/>
        <v>3.1543842051850959</v>
      </c>
      <c r="G8" s="341">
        <f t="shared" si="0"/>
        <v>3.1793210939359682</v>
      </c>
      <c r="H8" s="342">
        <f>(E8/D8)^(1/6)*100-100</f>
        <v>1.6134135175223747</v>
      </c>
      <c r="I8" s="540">
        <v>1.5</v>
      </c>
      <c r="J8" s="540"/>
      <c r="K8" s="714"/>
      <c r="L8" s="714"/>
      <c r="N8" s="202" t="s">
        <v>2</v>
      </c>
      <c r="O8" s="425">
        <v>4.4500000000000005E-2</v>
      </c>
      <c r="P8" s="426">
        <v>6.2600000000000003E-2</v>
      </c>
      <c r="Q8" s="427">
        <v>6.0499999999999998E-2</v>
      </c>
      <c r="R8" s="435">
        <v>2266.4</v>
      </c>
      <c r="S8" s="435">
        <v>8408.1999999999989</v>
      </c>
      <c r="T8" s="528">
        <v>10674.599999999999</v>
      </c>
      <c r="U8" s="519">
        <v>3.0741000000000001</v>
      </c>
      <c r="V8" s="520">
        <v>-1.6500000000000001E-2</v>
      </c>
      <c r="W8" s="521">
        <f t="shared" si="1"/>
        <v>0.73198186555347888</v>
      </c>
      <c r="X8" s="203">
        <f t="shared" si="2"/>
        <v>3259.3513469773916</v>
      </c>
      <c r="Y8" s="204">
        <f t="shared" si="2"/>
        <v>8391.5668639677078</v>
      </c>
      <c r="Z8" s="205">
        <f t="shared" si="3"/>
        <v>11650.918210945099</v>
      </c>
      <c r="AD8" s="288"/>
      <c r="AE8" s="290"/>
      <c r="AF8" s="288"/>
    </row>
    <row r="9" spans="1:32" x14ac:dyDescent="0.3">
      <c r="A9" s="230" t="s">
        <v>167</v>
      </c>
      <c r="B9" s="300"/>
      <c r="C9" s="301"/>
      <c r="D9" s="301"/>
      <c r="E9" s="301"/>
      <c r="F9" s="343">
        <v>0.25</v>
      </c>
      <c r="G9" s="344">
        <v>1.0900000000000001</v>
      </c>
      <c r="H9" s="345">
        <v>1.07</v>
      </c>
      <c r="I9" s="316">
        <v>1.5</v>
      </c>
      <c r="J9" s="316"/>
      <c r="K9" s="715"/>
      <c r="L9" s="715"/>
      <c r="M9" s="288"/>
      <c r="N9" s="202" t="s">
        <v>3</v>
      </c>
      <c r="O9" s="425">
        <v>4.7800000000000002E-2</v>
      </c>
      <c r="P9" s="426">
        <v>4.7699999999999999E-2</v>
      </c>
      <c r="Q9" s="427">
        <v>4.9599999999999998E-2</v>
      </c>
      <c r="R9" s="435">
        <v>3510.9</v>
      </c>
      <c r="S9" s="435">
        <v>5871.4000000000005</v>
      </c>
      <c r="T9" s="528">
        <v>9382.3000000000011</v>
      </c>
      <c r="U9" s="519">
        <v>1.4936</v>
      </c>
      <c r="V9" s="520">
        <v>0.1459</v>
      </c>
      <c r="W9" s="521">
        <f t="shared" si="1"/>
        <v>0.6736979202993183</v>
      </c>
      <c r="X9" s="203">
        <f t="shared" si="2"/>
        <v>4194.5207518585476</v>
      </c>
      <c r="Y9" s="204">
        <f t="shared" si="2"/>
        <v>5975.0253863998169</v>
      </c>
      <c r="Z9" s="205">
        <f t="shared" si="3"/>
        <v>10169.546138258363</v>
      </c>
      <c r="AD9" s="288"/>
      <c r="AE9" s="290"/>
      <c r="AF9" s="288"/>
    </row>
    <row r="10" spans="1:32" x14ac:dyDescent="0.3">
      <c r="A10" s="208" t="s">
        <v>147</v>
      </c>
      <c r="B10" s="302"/>
      <c r="C10" s="303"/>
      <c r="D10" s="303"/>
      <c r="E10" s="303"/>
      <c r="F10" s="306">
        <v>2.86</v>
      </c>
      <c r="G10" s="299">
        <v>2.2200000000000002</v>
      </c>
      <c r="H10" s="346">
        <v>2</v>
      </c>
      <c r="I10" s="317"/>
      <c r="J10" s="317"/>
      <c r="K10" s="715"/>
      <c r="L10" s="715"/>
      <c r="N10" s="202" t="s">
        <v>4</v>
      </c>
      <c r="O10" s="425">
        <v>4.7400000000000005E-2</v>
      </c>
      <c r="P10" s="426">
        <v>3.0800000000000001E-2</v>
      </c>
      <c r="Q10" s="427">
        <v>3.8600000000000002E-2</v>
      </c>
      <c r="R10" s="435">
        <v>1736.3999999999999</v>
      </c>
      <c r="S10" s="435">
        <v>4134.5</v>
      </c>
      <c r="T10" s="528">
        <v>5870.9</v>
      </c>
      <c r="U10" s="519">
        <v>1.6620999999999999</v>
      </c>
      <c r="V10" s="520">
        <v>1.1376999999999999</v>
      </c>
      <c r="W10" s="521">
        <f t="shared" si="1"/>
        <v>1.2959302797386698</v>
      </c>
      <c r="X10" s="203">
        <f t="shared" si="2"/>
        <v>2116.20967501409</v>
      </c>
      <c r="Y10" s="204">
        <f t="shared" si="2"/>
        <v>4735.6529983951832</v>
      </c>
      <c r="Z10" s="205">
        <f t="shared" si="3"/>
        <v>6851.8626734092732</v>
      </c>
      <c r="AD10" s="288"/>
      <c r="AE10" s="290"/>
      <c r="AF10" s="288"/>
    </row>
    <row r="11" spans="1:32" x14ac:dyDescent="0.3">
      <c r="A11" s="208" t="s">
        <v>97</v>
      </c>
      <c r="B11" s="302"/>
      <c r="C11" s="303"/>
      <c r="D11" s="303"/>
      <c r="E11" s="303"/>
      <c r="F11" s="208"/>
      <c r="G11" s="192"/>
      <c r="H11" s="209"/>
      <c r="I11" s="317">
        <v>0.5</v>
      </c>
      <c r="J11" s="317"/>
      <c r="K11" s="715"/>
      <c r="L11" s="715"/>
      <c r="M11" s="290"/>
      <c r="N11" s="202" t="s">
        <v>5</v>
      </c>
      <c r="O11" s="425">
        <v>3.1899999999999998E-2</v>
      </c>
      <c r="P11" s="426">
        <v>2.4799999999999999E-2</v>
      </c>
      <c r="Q11" s="427">
        <v>3.1800000000000002E-2</v>
      </c>
      <c r="R11" s="435">
        <v>10761.599999999999</v>
      </c>
      <c r="S11" s="435">
        <v>6312.7000000000007</v>
      </c>
      <c r="T11" s="528">
        <v>17074.3</v>
      </c>
      <c r="U11" s="519">
        <v>2.8068</v>
      </c>
      <c r="V11" s="520">
        <v>0.2233</v>
      </c>
      <c r="W11" s="521">
        <f t="shared" si="1"/>
        <v>1.933524301195817</v>
      </c>
      <c r="X11" s="203">
        <f t="shared" si="2"/>
        <v>15001.646999277662</v>
      </c>
      <c r="Y11" s="204">
        <f t="shared" si="2"/>
        <v>6483.9481290085141</v>
      </c>
      <c r="Z11" s="205">
        <f t="shared" si="3"/>
        <v>21485.595128286175</v>
      </c>
      <c r="AD11" s="288"/>
      <c r="AE11" s="290"/>
      <c r="AF11" s="288"/>
    </row>
    <row r="12" spans="1:32" s="288" customFormat="1" ht="16.2" thickBot="1" x14ac:dyDescent="0.35">
      <c r="A12" s="208" t="s">
        <v>194</v>
      </c>
      <c r="B12" s="302"/>
      <c r="C12" s="303"/>
      <c r="D12" s="303"/>
      <c r="E12" s="303"/>
      <c r="F12" s="306"/>
      <c r="G12" s="299"/>
      <c r="H12" s="307"/>
      <c r="I12" s="318">
        <v>0</v>
      </c>
      <c r="J12" s="318"/>
      <c r="K12" s="714"/>
      <c r="L12" s="714"/>
      <c r="M12" s="290"/>
      <c r="N12" s="211" t="s">
        <v>6</v>
      </c>
      <c r="O12" s="428">
        <v>3.8300000000000001E-2</v>
      </c>
      <c r="P12" s="429">
        <v>5.6300000000000003E-2</v>
      </c>
      <c r="Q12" s="430">
        <v>5.1400000000000001E-2</v>
      </c>
      <c r="R12" s="436">
        <v>4550.8999999999987</v>
      </c>
      <c r="S12" s="436">
        <v>13253.8</v>
      </c>
      <c r="T12" s="528">
        <v>17804.699999999997</v>
      </c>
      <c r="U12" s="522">
        <v>1.1758999999999999</v>
      </c>
      <c r="V12" s="523">
        <v>6.4000000000000001E-2</v>
      </c>
      <c r="W12" s="524">
        <f t="shared" si="1"/>
        <v>0.36132425921144318</v>
      </c>
      <c r="X12" s="203">
        <f t="shared" si="2"/>
        <v>5236.2721225230207</v>
      </c>
      <c r="Y12" s="204">
        <f t="shared" si="2"/>
        <v>13355.948247398404</v>
      </c>
      <c r="Z12" s="205">
        <f t="shared" si="3"/>
        <v>18592.220369921426</v>
      </c>
      <c r="AE12" s="290"/>
    </row>
    <row r="13" spans="1:32" ht="16.2" thickBot="1" x14ac:dyDescent="0.35">
      <c r="A13" s="208" t="s">
        <v>195</v>
      </c>
      <c r="B13" s="302"/>
      <c r="C13" s="303"/>
      <c r="D13" s="303"/>
      <c r="E13" s="303"/>
      <c r="F13" s="306"/>
      <c r="G13" s="299"/>
      <c r="H13" s="307"/>
      <c r="I13" s="317">
        <v>1</v>
      </c>
      <c r="J13" s="317"/>
      <c r="K13" s="715"/>
      <c r="L13" s="715"/>
      <c r="M13" s="290"/>
      <c r="N13" s="337" t="s">
        <v>145</v>
      </c>
      <c r="O13" s="431">
        <v>4.0599999999999997E-2</v>
      </c>
      <c r="P13" s="432">
        <v>4.7100000000000003E-2</v>
      </c>
      <c r="Q13" s="433">
        <v>5.0900000000000001E-2</v>
      </c>
      <c r="R13" s="515">
        <v>33830</v>
      </c>
      <c r="S13" s="437">
        <v>60836</v>
      </c>
      <c r="T13" s="438">
        <v>94666</v>
      </c>
      <c r="U13" s="525">
        <f>(X13/R13)^(1/12)*100-100</f>
        <v>2.7287207136372729</v>
      </c>
      <c r="V13" s="526">
        <f>(Y13/S13)^(1/12)*100-100</f>
        <v>0.12951474340798086</v>
      </c>
      <c r="W13" s="527">
        <f t="shared" si="1"/>
        <v>1.1446033396397439</v>
      </c>
      <c r="X13" s="515">
        <f>SUM(X6:X12)</f>
        <v>46730.944200270278</v>
      </c>
      <c r="Y13" s="437">
        <f>SUM(Y6:Y12)</f>
        <v>61788.263316755678</v>
      </c>
      <c r="Z13" s="438">
        <f>Y13+X13</f>
        <v>108519.20751702596</v>
      </c>
      <c r="AD13" s="288"/>
      <c r="AE13" s="290"/>
      <c r="AF13" s="288"/>
    </row>
    <row r="14" spans="1:32" ht="16.2" thickBot="1" x14ac:dyDescent="0.35">
      <c r="A14" s="258" t="s">
        <v>196</v>
      </c>
      <c r="B14" s="338"/>
      <c r="C14" s="339"/>
      <c r="D14" s="339"/>
      <c r="E14" s="339"/>
      <c r="F14" s="340"/>
      <c r="G14" s="341"/>
      <c r="H14" s="342"/>
      <c r="I14" s="309">
        <v>1.5</v>
      </c>
      <c r="J14" s="309"/>
      <c r="K14" s="715"/>
      <c r="L14" s="715"/>
      <c r="N14" s="363" t="s">
        <v>146</v>
      </c>
      <c r="P14" s="222"/>
      <c r="AA14" s="288"/>
      <c r="AB14" s="288"/>
      <c r="AC14" s="288"/>
      <c r="AD14" s="288"/>
      <c r="AE14" s="288"/>
      <c r="AF14" s="288"/>
    </row>
    <row r="15" spans="1:32" x14ac:dyDescent="0.3">
      <c r="A15" s="202" t="s">
        <v>96</v>
      </c>
      <c r="B15" s="215"/>
      <c r="C15" s="296"/>
      <c r="D15" s="216"/>
      <c r="E15" s="216"/>
      <c r="F15" s="215"/>
      <c r="G15" s="216"/>
      <c r="H15" s="320"/>
      <c r="I15" s="209"/>
      <c r="J15" s="209"/>
      <c r="K15" s="192"/>
      <c r="L15" s="192"/>
      <c r="O15" s="288"/>
      <c r="P15" s="288"/>
      <c r="Q15" s="288"/>
      <c r="R15" s="288"/>
      <c r="S15" s="288"/>
      <c r="T15" s="288"/>
      <c r="U15" s="288"/>
      <c r="V15" s="288"/>
      <c r="W15" s="288"/>
      <c r="AA15" s="288"/>
      <c r="AB15" s="288"/>
      <c r="AC15" s="288"/>
      <c r="AD15" s="288"/>
      <c r="AE15" s="288"/>
      <c r="AF15" s="288"/>
    </row>
    <row r="16" spans="1:32" x14ac:dyDescent="0.3">
      <c r="A16" s="202" t="s">
        <v>97</v>
      </c>
      <c r="B16" s="215"/>
      <c r="C16" s="216"/>
      <c r="D16" s="216"/>
      <c r="E16" s="216"/>
      <c r="F16" s="215"/>
      <c r="G16" s="216"/>
      <c r="H16" s="217"/>
      <c r="I16" s="317">
        <v>2.08</v>
      </c>
      <c r="J16" s="317"/>
      <c r="K16" s="715"/>
      <c r="L16" s="715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AE16" s="288"/>
      <c r="AF16" s="288"/>
    </row>
    <row r="17" spans="1:23" ht="16.2" thickBot="1" x14ac:dyDescent="0.35">
      <c r="A17" s="211" t="s">
        <v>98</v>
      </c>
      <c r="B17" s="218"/>
      <c r="C17" s="219"/>
      <c r="D17" s="219"/>
      <c r="E17" s="219"/>
      <c r="F17" s="327"/>
      <c r="G17" s="219"/>
      <c r="H17" s="220"/>
      <c r="I17" s="309">
        <v>-1.32</v>
      </c>
      <c r="J17" s="309"/>
      <c r="K17" s="715"/>
      <c r="L17" s="715"/>
      <c r="N17" s="288"/>
      <c r="O17" s="288"/>
      <c r="P17" s="288"/>
      <c r="Q17" s="288"/>
      <c r="R17" s="288"/>
      <c r="S17" s="288"/>
      <c r="T17" s="288"/>
      <c r="U17" s="288"/>
      <c r="V17" s="288"/>
      <c r="W17" s="288"/>
    </row>
    <row r="18" spans="1:23" x14ac:dyDescent="0.3">
      <c r="A18" s="230" t="s">
        <v>168</v>
      </c>
      <c r="B18" s="321"/>
      <c r="C18" s="322"/>
      <c r="D18" s="322"/>
      <c r="E18" s="322"/>
      <c r="F18" s="230"/>
      <c r="G18" s="236"/>
      <c r="H18" s="198"/>
      <c r="I18" s="323"/>
      <c r="J18" s="323"/>
      <c r="K18" s="716"/>
      <c r="L18" s="716"/>
      <c r="N18" s="288"/>
      <c r="O18" s="288"/>
      <c r="P18" s="288"/>
      <c r="Q18" s="288"/>
      <c r="R18" s="288"/>
      <c r="S18" s="288"/>
      <c r="T18" s="288"/>
      <c r="U18" s="288"/>
      <c r="V18" s="288"/>
      <c r="W18" s="288"/>
    </row>
    <row r="19" spans="1:23" x14ac:dyDescent="0.3">
      <c r="A19" s="208" t="s">
        <v>95</v>
      </c>
      <c r="B19" s="306">
        <v>1.56</v>
      </c>
      <c r="C19" s="299">
        <v>3.08</v>
      </c>
      <c r="D19" s="299">
        <v>4.3</v>
      </c>
      <c r="E19" s="418">
        <v>4.72</v>
      </c>
      <c r="F19" s="306">
        <f>(C19/B19)^(1/10)*100-100</f>
        <v>7.0391401704623604</v>
      </c>
      <c r="G19" s="299">
        <f>(D19/C19)^(1/10)*100-100</f>
        <v>3.3931516813627809</v>
      </c>
      <c r="H19" s="419">
        <f>(E19/D19)^(1/6)*100-100</f>
        <v>1.565354922765863</v>
      </c>
      <c r="I19" s="209"/>
      <c r="J19" s="209"/>
      <c r="K19" s="192"/>
      <c r="L19" s="192"/>
      <c r="N19" s="288"/>
      <c r="O19" s="288"/>
      <c r="P19" s="288"/>
      <c r="Q19" s="288"/>
      <c r="R19" s="288"/>
      <c r="S19" s="288"/>
      <c r="T19" s="288"/>
      <c r="U19" s="288"/>
      <c r="V19" s="288"/>
      <c r="W19" s="288"/>
    </row>
    <row r="20" spans="1:23" s="288" customFormat="1" x14ac:dyDescent="0.3">
      <c r="A20" s="208" t="s">
        <v>144</v>
      </c>
      <c r="B20" s="378">
        <v>57.4</v>
      </c>
      <c r="C20" s="379">
        <v>71.400000000000006</v>
      </c>
      <c r="D20" s="379">
        <v>119.3</v>
      </c>
      <c r="E20" s="420">
        <v>135.56456224979479</v>
      </c>
      <c r="F20" s="378">
        <f>(C20/B20)^(1/10)*100-100</f>
        <v>2.2065271930807882</v>
      </c>
      <c r="G20" s="379">
        <f>(D20/C20)^(1/10)*100-100</f>
        <v>5.2674792032537425</v>
      </c>
      <c r="H20" s="421">
        <f>(E20/D20)^(1/6)*100-100</f>
        <v>2.1529600136945817</v>
      </c>
      <c r="I20" s="209"/>
      <c r="J20" s="209"/>
      <c r="K20" s="192"/>
      <c r="L20" s="192"/>
    </row>
    <row r="21" spans="1:23" x14ac:dyDescent="0.3">
      <c r="A21" s="208" t="s">
        <v>268</v>
      </c>
      <c r="B21" s="378"/>
      <c r="C21" s="379"/>
      <c r="D21" s="379"/>
      <c r="E21" s="420"/>
      <c r="F21" s="378"/>
      <c r="G21" s="379"/>
      <c r="H21" s="421"/>
      <c r="I21" s="717">
        <v>1.25</v>
      </c>
      <c r="J21" s="717">
        <v>0.6</v>
      </c>
      <c r="K21" s="715"/>
      <c r="L21" s="715"/>
      <c r="N21" s="288"/>
      <c r="O21" s="288"/>
      <c r="P21" s="288"/>
      <c r="Q21" s="288"/>
      <c r="R21" s="288"/>
      <c r="S21" s="288"/>
      <c r="T21" s="288"/>
      <c r="U21" s="288"/>
      <c r="V21" s="288"/>
      <c r="W21" s="288"/>
    </row>
    <row r="22" spans="1:23" x14ac:dyDescent="0.3">
      <c r="A22" s="208" t="s">
        <v>269</v>
      </c>
      <c r="B22" s="378"/>
      <c r="C22" s="379"/>
      <c r="D22" s="379"/>
      <c r="E22" s="420"/>
      <c r="F22" s="378"/>
      <c r="G22" s="379"/>
      <c r="H22" s="421"/>
      <c r="I22" s="717">
        <v>1.38</v>
      </c>
      <c r="J22" s="717">
        <v>2.2999999999999998</v>
      </c>
      <c r="K22" s="192"/>
      <c r="L22" s="192"/>
      <c r="N22" s="288"/>
      <c r="S22" s="288"/>
      <c r="T22" s="290"/>
      <c r="U22" s="290"/>
      <c r="V22" s="290"/>
      <c r="W22" s="288"/>
    </row>
    <row r="23" spans="1:23" ht="16.2" thickBot="1" x14ac:dyDescent="0.35">
      <c r="A23" s="258" t="s">
        <v>169</v>
      </c>
      <c r="B23" s="311"/>
      <c r="C23" s="312"/>
      <c r="D23" s="312"/>
      <c r="E23" s="324"/>
      <c r="F23" s="313"/>
      <c r="G23" s="314"/>
      <c r="H23" s="315"/>
      <c r="I23" s="309">
        <v>1.5129999999999999</v>
      </c>
      <c r="J23" s="309">
        <v>2.2999999999999998</v>
      </c>
      <c r="N23" s="288"/>
      <c r="S23" s="288"/>
      <c r="T23" s="290"/>
      <c r="U23" s="290"/>
      <c r="V23" s="290"/>
      <c r="W23" s="288"/>
    </row>
    <row r="24" spans="1:23" x14ac:dyDescent="0.3">
      <c r="A24" s="221" t="s">
        <v>205</v>
      </c>
      <c r="B24" s="192"/>
      <c r="C24" s="192"/>
      <c r="D24" s="192"/>
      <c r="E24" s="192"/>
      <c r="F24" s="192"/>
      <c r="G24" s="192"/>
      <c r="H24" s="192"/>
      <c r="I24" s="192"/>
      <c r="J24" s="192"/>
      <c r="N24" s="288"/>
      <c r="O24" s="288"/>
      <c r="P24" s="288"/>
      <c r="Q24" s="288"/>
      <c r="R24" s="288"/>
      <c r="S24" s="288"/>
      <c r="T24" s="288"/>
      <c r="U24" s="288"/>
      <c r="V24" s="288"/>
      <c r="W24" s="288"/>
    </row>
    <row r="25" spans="1:23" x14ac:dyDescent="0.3">
      <c r="A25" s="380" t="s">
        <v>170</v>
      </c>
      <c r="N25" s="288"/>
      <c r="S25" s="288"/>
      <c r="T25" s="288"/>
      <c r="U25" s="288"/>
      <c r="V25" s="288"/>
      <c r="W25" s="288"/>
    </row>
    <row r="26" spans="1:23" x14ac:dyDescent="0.3">
      <c r="C26" s="297"/>
      <c r="D26" s="297"/>
      <c r="E26" s="297"/>
      <c r="R26" s="288"/>
      <c r="S26" s="288"/>
      <c r="T26" s="288"/>
      <c r="U26" s="288"/>
      <c r="V26" s="288"/>
      <c r="W26" s="288"/>
    </row>
    <row r="27" spans="1:23" x14ac:dyDescent="0.3">
      <c r="R27" s="288"/>
      <c r="S27" s="288"/>
      <c r="T27" s="288"/>
      <c r="U27" s="288"/>
      <c r="V27" s="288"/>
      <c r="W27" s="288"/>
    </row>
    <row r="28" spans="1:23" x14ac:dyDescent="0.3">
      <c r="T28" s="288"/>
      <c r="U28" s="288"/>
      <c r="V28" s="288"/>
      <c r="W28" s="288"/>
    </row>
    <row r="29" spans="1:23" x14ac:dyDescent="0.3">
      <c r="T29" s="288"/>
      <c r="U29" s="288"/>
      <c r="V29" s="288"/>
      <c r="W29" s="288"/>
    </row>
  </sheetData>
  <mergeCells count="8">
    <mergeCell ref="X4:Z4"/>
    <mergeCell ref="A3:A4"/>
    <mergeCell ref="F3:H3"/>
    <mergeCell ref="U4:W4"/>
    <mergeCell ref="B3:E3"/>
    <mergeCell ref="R4:T4"/>
    <mergeCell ref="O4:Q4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29" sqref="I29"/>
    </sheetView>
  </sheetViews>
  <sheetFormatPr defaultRowHeight="15.6" x14ac:dyDescent="0.3"/>
  <cols>
    <col min="1" max="1" width="3.09765625" style="59" customWidth="1"/>
    <col min="2" max="2" width="5.296875" style="58" customWidth="1"/>
    <col min="3" max="3" width="5.69921875" style="58" bestFit="1" customWidth="1"/>
    <col min="4" max="4" width="11.3984375" style="58" customWidth="1"/>
    <col min="5" max="5" width="8.59765625" style="58" bestFit="1" customWidth="1"/>
    <col min="6" max="6" width="7.19921875" style="58" bestFit="1" customWidth="1"/>
    <col min="7" max="7" width="6.19921875" style="58" bestFit="1" customWidth="1"/>
    <col min="8" max="8" width="5.8984375" style="58" bestFit="1" customWidth="1"/>
    <col min="9" max="9" width="7.296875" style="58" bestFit="1" customWidth="1"/>
    <col min="10" max="10" width="8.59765625" style="58" bestFit="1" customWidth="1"/>
    <col min="11" max="11" width="7.19921875" style="58" bestFit="1" customWidth="1"/>
    <col min="12" max="12" width="6.19921875" style="58" bestFit="1" customWidth="1"/>
    <col min="13" max="13" width="7.796875" style="58" bestFit="1" customWidth="1"/>
    <col min="14" max="14" width="7.59765625" style="58" bestFit="1" customWidth="1"/>
    <col min="15" max="15" width="6.3984375" style="58" bestFit="1" customWidth="1"/>
    <col min="16" max="16" width="9.59765625" style="58" bestFit="1" customWidth="1"/>
    <col min="17" max="17" width="9.69921875" style="58" bestFit="1" customWidth="1"/>
    <col min="18" max="18" width="10.09765625" style="58" bestFit="1" customWidth="1"/>
    <col min="19" max="19" width="9.796875" style="58" bestFit="1" customWidth="1"/>
    <col min="20" max="20" width="10.09765625" style="58" bestFit="1" customWidth="1"/>
    <col min="21" max="21" width="7.296875" style="58" bestFit="1" customWidth="1"/>
    <col min="22" max="22" width="8.59765625" style="58" bestFit="1" customWidth="1"/>
    <col min="23" max="23" width="7.5" style="58" bestFit="1" customWidth="1"/>
    <col min="24" max="24" width="7.19921875" style="58" bestFit="1" customWidth="1"/>
    <col min="25" max="25" width="7.5" style="58" bestFit="1" customWidth="1"/>
    <col min="26" max="26" width="7.296875" style="58" bestFit="1" customWidth="1"/>
    <col min="27" max="27" width="8.59765625" style="58" bestFit="1" customWidth="1"/>
    <col min="28" max="28" width="7.19921875" style="58" bestFit="1" customWidth="1"/>
    <col min="29" max="29" width="6.19921875" style="58" bestFit="1" customWidth="1"/>
    <col min="30" max="30" width="5.796875" style="58" bestFit="1" customWidth="1"/>
    <col min="31" max="31" width="7.296875" style="58" bestFit="1" customWidth="1"/>
    <col min="32" max="32" width="8.59765625" style="58" bestFit="1" customWidth="1"/>
    <col min="33" max="33" width="7.19921875" style="58" bestFit="1" customWidth="1"/>
    <col min="34" max="34" width="7.8984375" style="58" bestFit="1" customWidth="1"/>
    <col min="35" max="35" width="7.19921875" style="58" bestFit="1" customWidth="1"/>
    <col min="36" max="36" width="8.796875" style="58"/>
    <col min="37" max="37" width="3.796875" style="59" customWidth="1"/>
    <col min="38" max="38" width="5.296875" style="58" customWidth="1"/>
    <col min="39" max="39" width="5.69921875" style="58" bestFit="1" customWidth="1"/>
    <col min="40" max="40" width="7.296875" style="58" bestFit="1" customWidth="1"/>
    <col min="41" max="41" width="8.59765625" style="58" bestFit="1" customWidth="1"/>
    <col min="42" max="42" width="7.19921875" style="58" bestFit="1" customWidth="1"/>
    <col min="43" max="43" width="6.19921875" style="58" bestFit="1" customWidth="1"/>
    <col min="44" max="44" width="5.8984375" style="58" bestFit="1" customWidth="1"/>
    <col min="45" max="45" width="7.296875" style="58" bestFit="1" customWidth="1"/>
    <col min="46" max="46" width="8.59765625" style="58" bestFit="1" customWidth="1"/>
    <col min="47" max="47" width="7.19921875" style="58" bestFit="1" customWidth="1"/>
    <col min="48" max="48" width="6.19921875" style="58" bestFit="1" customWidth="1"/>
    <col min="49" max="49" width="7.796875" style="58" bestFit="1" customWidth="1"/>
    <col min="50" max="50" width="7.59765625" style="58" bestFit="1" customWidth="1"/>
    <col min="51" max="51" width="6.3984375" style="58" bestFit="1" customWidth="1"/>
    <col min="52" max="52" width="9.59765625" style="58" bestFit="1" customWidth="1"/>
    <col min="53" max="53" width="9.69921875" style="58" bestFit="1" customWidth="1"/>
    <col min="54" max="54" width="10.09765625" style="58" bestFit="1" customWidth="1"/>
    <col min="55" max="55" width="9.796875" style="58" bestFit="1" customWidth="1"/>
    <col min="56" max="56" width="10.09765625" style="58" bestFit="1" customWidth="1"/>
    <col min="57" max="57" width="7.296875" style="58" bestFit="1" customWidth="1"/>
    <col min="58" max="58" width="8.59765625" style="58" bestFit="1" customWidth="1"/>
    <col min="59" max="59" width="7.5" style="58" bestFit="1" customWidth="1"/>
    <col min="60" max="60" width="7.19921875" style="58" bestFit="1" customWidth="1"/>
    <col min="61" max="61" width="7.5" style="58" bestFit="1" customWidth="1"/>
    <col min="62" max="62" width="7.296875" style="58" bestFit="1" customWidth="1"/>
    <col min="63" max="63" width="8.59765625" style="58" bestFit="1" customWidth="1"/>
    <col min="64" max="64" width="7.19921875" style="58" bestFit="1" customWidth="1"/>
    <col min="65" max="65" width="6.19921875" style="58" bestFit="1" customWidth="1"/>
    <col min="66" max="66" width="5.796875" style="58" bestFit="1" customWidth="1"/>
    <col min="67" max="67" width="7.296875" style="58" bestFit="1" customWidth="1"/>
    <col min="68" max="68" width="8.59765625" style="58" bestFit="1" customWidth="1"/>
    <col min="69" max="69" width="7.19921875" style="58" bestFit="1" customWidth="1"/>
    <col min="70" max="70" width="6.8984375" style="58" bestFit="1" customWidth="1"/>
    <col min="71" max="71" width="7.19921875" style="58" bestFit="1" customWidth="1"/>
    <col min="72" max="73" width="8.796875" style="58"/>
    <col min="74" max="74" width="7.09765625" style="58" bestFit="1" customWidth="1"/>
    <col min="75" max="75" width="6.296875" style="58" bestFit="1" customWidth="1"/>
    <col min="76" max="76" width="6.5" style="58" bestFit="1" customWidth="1"/>
    <col min="77" max="77" width="6.8984375" style="58" bestFit="1" customWidth="1"/>
    <col min="78" max="78" width="10.296875" style="58" customWidth="1"/>
    <col min="79" max="79" width="7.09765625" style="58" bestFit="1" customWidth="1"/>
    <col min="80" max="80" width="8.796875" style="58"/>
    <col min="81" max="81" width="6.296875" style="58" bestFit="1" customWidth="1"/>
    <col min="82" max="82" width="6.5" style="58" bestFit="1" customWidth="1"/>
    <col min="83" max="83" width="6.8984375" style="58" bestFit="1" customWidth="1"/>
    <col min="84" max="16384" width="8.796875" style="58"/>
  </cols>
  <sheetData>
    <row r="1" spans="1:86" x14ac:dyDescent="0.3">
      <c r="A1" s="57" t="s">
        <v>190</v>
      </c>
      <c r="D1" s="57"/>
      <c r="AK1" s="57" t="s">
        <v>189</v>
      </c>
      <c r="AN1" s="57"/>
    </row>
    <row r="2" spans="1:86" ht="16.2" thickBot="1" x14ac:dyDescent="0.35">
      <c r="A2" s="56" t="s">
        <v>62</v>
      </c>
      <c r="AK2" s="56" t="s">
        <v>62</v>
      </c>
    </row>
    <row r="3" spans="1:86" ht="16.2" thickBot="1" x14ac:dyDescent="0.35">
      <c r="A3" s="352"/>
      <c r="B3" s="799"/>
      <c r="C3" s="799"/>
      <c r="D3" s="733" t="s">
        <v>33</v>
      </c>
      <c r="E3" s="734"/>
      <c r="F3" s="734"/>
      <c r="G3" s="734"/>
      <c r="H3" s="735"/>
      <c r="I3" s="736" t="s">
        <v>34</v>
      </c>
      <c r="J3" s="737"/>
      <c r="K3" s="737"/>
      <c r="L3" s="737"/>
      <c r="M3" s="737"/>
      <c r="N3" s="737"/>
      <c r="O3" s="738"/>
      <c r="P3" s="733" t="s">
        <v>35</v>
      </c>
      <c r="Q3" s="734"/>
      <c r="R3" s="734"/>
      <c r="S3" s="734"/>
      <c r="T3" s="735"/>
      <c r="U3" s="733" t="s">
        <v>36</v>
      </c>
      <c r="V3" s="734"/>
      <c r="W3" s="734"/>
      <c r="X3" s="734"/>
      <c r="Y3" s="735"/>
      <c r="Z3" s="736" t="s">
        <v>37</v>
      </c>
      <c r="AA3" s="737"/>
      <c r="AB3" s="737"/>
      <c r="AC3" s="737"/>
      <c r="AD3" s="738"/>
      <c r="AE3" s="736" t="s">
        <v>38</v>
      </c>
      <c r="AF3" s="737"/>
      <c r="AG3" s="737"/>
      <c r="AH3" s="737"/>
      <c r="AI3" s="738"/>
      <c r="AK3" s="352"/>
      <c r="AL3" s="799"/>
      <c r="AM3" s="799"/>
      <c r="AN3" s="733" t="s">
        <v>33</v>
      </c>
      <c r="AO3" s="734"/>
      <c r="AP3" s="734"/>
      <c r="AQ3" s="734"/>
      <c r="AR3" s="735"/>
      <c r="AS3" s="736" t="s">
        <v>34</v>
      </c>
      <c r="AT3" s="737"/>
      <c r="AU3" s="737"/>
      <c r="AV3" s="737"/>
      <c r="AW3" s="737"/>
      <c r="AX3" s="737"/>
      <c r="AY3" s="738"/>
      <c r="AZ3" s="733" t="s">
        <v>35</v>
      </c>
      <c r="BA3" s="734"/>
      <c r="BB3" s="734"/>
      <c r="BC3" s="734"/>
      <c r="BD3" s="735"/>
      <c r="BE3" s="733" t="s">
        <v>36</v>
      </c>
      <c r="BF3" s="734"/>
      <c r="BG3" s="734"/>
      <c r="BH3" s="734"/>
      <c r="BI3" s="735"/>
      <c r="BJ3" s="736" t="s">
        <v>37</v>
      </c>
      <c r="BK3" s="737"/>
      <c r="BL3" s="737"/>
      <c r="BM3" s="737"/>
      <c r="BN3" s="738"/>
      <c r="BO3" s="736" t="s">
        <v>38</v>
      </c>
      <c r="BP3" s="737"/>
      <c r="BQ3" s="737"/>
      <c r="BR3" s="737"/>
      <c r="BS3" s="738"/>
      <c r="BU3" s="57" t="s">
        <v>244</v>
      </c>
    </row>
    <row r="4" spans="1:86" ht="16.2" thickBot="1" x14ac:dyDescent="0.35">
      <c r="A4" s="353"/>
      <c r="B4" s="800"/>
      <c r="C4" s="800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52" t="s">
        <v>39</v>
      </c>
      <c r="AK4" s="353"/>
      <c r="AL4" s="800"/>
      <c r="AM4" s="800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52" t="s">
        <v>39</v>
      </c>
      <c r="BU4" s="58" t="s">
        <v>245</v>
      </c>
    </row>
    <row r="5" spans="1:86" ht="16.2" thickBot="1" x14ac:dyDescent="0.35">
      <c r="A5" s="353"/>
      <c r="B5" s="800"/>
      <c r="C5" s="800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50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51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52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52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52" t="s">
        <v>24</v>
      </c>
      <c r="AF5" s="352" t="s">
        <v>25</v>
      </c>
      <c r="AG5" s="352" t="s">
        <v>26</v>
      </c>
      <c r="AH5" s="93" t="s">
        <v>56</v>
      </c>
      <c r="AI5" s="352" t="s">
        <v>27</v>
      </c>
      <c r="AK5" s="353"/>
      <c r="AL5" s="800"/>
      <c r="AM5" s="800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50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51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52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52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52" t="s">
        <v>24</v>
      </c>
      <c r="BP5" s="352" t="s">
        <v>25</v>
      </c>
      <c r="BQ5" s="352" t="s">
        <v>26</v>
      </c>
      <c r="BR5" s="93" t="s">
        <v>56</v>
      </c>
      <c r="BS5" s="352" t="s">
        <v>27</v>
      </c>
      <c r="BU5" s="61"/>
      <c r="BV5" s="667" t="s">
        <v>249</v>
      </c>
      <c r="BW5" s="680" t="s">
        <v>246</v>
      </c>
      <c r="BX5" s="680" t="s">
        <v>247</v>
      </c>
      <c r="BY5" s="681" t="s">
        <v>248</v>
      </c>
      <c r="BZ5" s="60" t="s">
        <v>242</v>
      </c>
      <c r="CA5" s="656" t="s">
        <v>240</v>
      </c>
      <c r="CB5" s="149" t="s">
        <v>250</v>
      </c>
      <c r="CC5" s="690" t="s">
        <v>251</v>
      </c>
      <c r="CD5" s="690" t="s">
        <v>252</v>
      </c>
      <c r="CE5" s="691" t="s">
        <v>253</v>
      </c>
      <c r="CF5" s="64" t="s">
        <v>243</v>
      </c>
      <c r="CG5" s="67" t="s">
        <v>241</v>
      </c>
    </row>
    <row r="6" spans="1:86" x14ac:dyDescent="0.3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657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657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657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52">
        <v>8</v>
      </c>
      <c r="AL6" s="354">
        <v>2018</v>
      </c>
      <c r="AM6" s="355" t="s">
        <v>57</v>
      </c>
      <c r="AN6" s="165">
        <f t="shared" ref="AN6:AW18" si="12">SUMIFS(AN$19:AN$109,$AL$19:$AL$109,$AL6)</f>
        <v>754.57999192206978</v>
      </c>
      <c r="AO6" s="70">
        <f t="shared" si="12"/>
        <v>1059.4367831280679</v>
      </c>
      <c r="AP6" s="70">
        <f t="shared" si="12"/>
        <v>97.74707413422972</v>
      </c>
      <c r="AQ6" s="659">
        <f>SUM(AN6:AP6)</f>
        <v>1911.7638491843675</v>
      </c>
      <c r="AR6" s="71">
        <f t="shared" si="12"/>
        <v>4246.4333566721834</v>
      </c>
      <c r="AS6" s="165">
        <f t="shared" si="12"/>
        <v>754.57999192206967</v>
      </c>
      <c r="AT6" s="70">
        <f t="shared" si="12"/>
        <v>1059.4367831280683</v>
      </c>
      <c r="AU6" s="70">
        <f t="shared" si="12"/>
        <v>95.751636940187382</v>
      </c>
      <c r="AV6" s="659">
        <f>SUM(AS6:AU6)</f>
        <v>1909.7684119903254</v>
      </c>
      <c r="AW6" s="70">
        <f t="shared" si="12"/>
        <v>217.21155814113021</v>
      </c>
      <c r="AX6" s="70">
        <f t="shared" ref="AX6:BI18" si="13">SUMIFS(AX$19:AX$109,$AL$19:$AL$109,$AL6)</f>
        <v>12835.395477989521</v>
      </c>
      <c r="AY6" s="732">
        <f t="shared" ref="AY6:AY18" si="14">SUM(AW6:AX6)</f>
        <v>13052.607036130652</v>
      </c>
      <c r="AZ6" s="166">
        <f t="shared" si="13"/>
        <v>6.9999999999978968E-3</v>
      </c>
      <c r="BA6" s="68">
        <f t="shared" si="13"/>
        <v>7.0000000000032259E-3</v>
      </c>
      <c r="BB6" s="68">
        <f t="shared" si="13"/>
        <v>6.9999999999994511E-3</v>
      </c>
      <c r="BC6" s="730">
        <f t="shared" ref="BC6:BC18" si="15">SUM(AZ6:BB6)</f>
        <v>2.1000000000000574E-2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2.0024371940423449</v>
      </c>
      <c r="BH6" s="730">
        <f t="shared" ref="BH6:BH18" si="16">SUM(BE6:BG6)</f>
        <v>2.0164371940423447</v>
      </c>
      <c r="BI6" s="71">
        <f t="shared" si="13"/>
        <v>-8806.1666794584671</v>
      </c>
      <c r="BJ6" s="166">
        <f t="shared" ref="BJ6:BJ39" si="17">AN6-AS6-AZ6-BE6</f>
        <v>-1.3999999999884209E-2</v>
      </c>
      <c r="BK6" s="68">
        <f t="shared" ref="BK6:BK39" si="18">AO6-AT6-BA6-BF6</f>
        <v>-1.4000000000457972E-2</v>
      </c>
      <c r="BL6" s="68">
        <f t="shared" ref="BL6:BL39" si="19">AP6-AU6-BB6-BG6</f>
        <v>-1.4000000000005786E-2</v>
      </c>
      <c r="BM6" s="730">
        <f t="shared" ref="BM6:BM18" si="20">SUM(BJ6:BL6)</f>
        <v>-4.2000000000347967E-2</v>
      </c>
      <c r="BN6" s="69">
        <f t="shared" ref="BN6:BN39" si="21">AR6-AW6-AX6-BD6-BI6</f>
        <v>-1.4000000001033186E-2</v>
      </c>
      <c r="BO6" s="165">
        <f t="shared" ref="BO6:BO18" si="22">(BO19*AS19+BO32*AS32+BO45*AS45+BO58*AS58+BO71*AS71+BO84*AS84+BO97*AS97)/(AS19+AS32+AS45+AS58+AS71+AS84+AS97)</f>
        <v>79291.006026788469</v>
      </c>
      <c r="BP6" s="70">
        <f t="shared" ref="BP6:BP18" si="23">(BP19*AT19+BP32*AT32+BP45*AT45+BP58*AT58+BP71*AT71+BP84*AT84+BP97*AT97)/(AT19+AT32+AT45+AT58+AT71+AT84+AT97)</f>
        <v>79472.188203116209</v>
      </c>
      <c r="BQ6" s="70">
        <f t="shared" ref="BQ6:BQ18" si="24">(BQ19*AU19+BQ32*AU32+BQ45*AU45+BQ58*AU58+BQ71*AU71+BQ84*AU84+BQ97*AU97)/(AU19+AU32+AU45+AU58+AU71+AU84+AU97)</f>
        <v>82941.792586116513</v>
      </c>
      <c r="BR6" s="659">
        <f t="shared" ref="BR6:BR18" si="25">(BR19*AV19+BR32*AV32+BR45*AV45+BR58*AV58+BR71*AV71+BR84*AV84+BR97*AV97)/(AV19+AV32+AV45+AV58+AV71+AV84+AV97)</f>
        <v>79574.558654334222</v>
      </c>
      <c r="BS6" s="71">
        <f t="shared" ref="BS6:BS18" si="26">(BS19*AY19+BS32*AY32+BS45*AY45+BS58*AY58+BS71*AY71+BS84*AY84+BS97*AY97)/(AY19+AY32+AY45+AY58+AY71+AY84+AY97)</f>
        <v>7099.9176596539946</v>
      </c>
      <c r="BU6" s="356">
        <f>AL6</f>
        <v>2018</v>
      </c>
      <c r="BV6" s="668">
        <f>G6</f>
        <v>1911.7638491843672</v>
      </c>
      <c r="BW6" s="682">
        <f>D6</f>
        <v>754.57999192206978</v>
      </c>
      <c r="BX6" s="682">
        <f>E6</f>
        <v>1059.4367831280679</v>
      </c>
      <c r="BY6" s="683">
        <f>F6</f>
        <v>97.74707413422972</v>
      </c>
      <c r="BZ6" s="672">
        <f>L6</f>
        <v>1909.7684119903251</v>
      </c>
      <c r="CA6" s="673">
        <f>AH6</f>
        <v>79574.558654334222</v>
      </c>
      <c r="CB6" s="668">
        <f>AQ6</f>
        <v>1911.7638491843675</v>
      </c>
      <c r="CC6" s="682">
        <f>AN6</f>
        <v>754.57999192206978</v>
      </c>
      <c r="CD6" s="682">
        <f>AO6</f>
        <v>1059.4367831280679</v>
      </c>
      <c r="CE6" s="683">
        <f>AP6</f>
        <v>97.74707413422972</v>
      </c>
      <c r="CF6" s="672">
        <f>AV6</f>
        <v>1909.7684119903254</v>
      </c>
      <c r="CG6" s="673">
        <f>BR6</f>
        <v>79574.558654334222</v>
      </c>
      <c r="CH6" s="660">
        <f>CG6/CA6*100-100</f>
        <v>0</v>
      </c>
    </row>
    <row r="7" spans="1:86" x14ac:dyDescent="0.3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658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658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658">
        <f t="shared" si="10"/>
        <v>83738.595456875788</v>
      </c>
      <c r="AI7" s="116">
        <f t="shared" si="11"/>
        <v>7400.8825586847297</v>
      </c>
      <c r="AK7" s="353">
        <v>8</v>
      </c>
      <c r="AL7" s="356">
        <v>2019</v>
      </c>
      <c r="AM7" s="357" t="s">
        <v>57</v>
      </c>
      <c r="AN7" s="167">
        <f t="shared" si="12"/>
        <v>561.42673280612155</v>
      </c>
      <c r="AO7" s="74">
        <f t="shared" si="12"/>
        <v>977.66183659706996</v>
      </c>
      <c r="AP7" s="74">
        <f t="shared" si="12"/>
        <v>106.48807689515336</v>
      </c>
      <c r="AQ7" s="173">
        <f t="shared" ref="AQ7:AQ17" si="27">SUM(AN7:AP7)</f>
        <v>1645.5766462983449</v>
      </c>
      <c r="AR7" s="75">
        <f t="shared" si="12"/>
        <v>4363.2354470181153</v>
      </c>
      <c r="AS7" s="167">
        <f t="shared" si="12"/>
        <v>561.42673280612155</v>
      </c>
      <c r="AT7" s="74">
        <f t="shared" si="12"/>
        <v>977.66183659706985</v>
      </c>
      <c r="AU7" s="74">
        <f t="shared" si="12"/>
        <v>106.48807689515343</v>
      </c>
      <c r="AV7" s="173">
        <f t="shared" ref="AV7:AV17" si="28">SUM(AS7:AU7)</f>
        <v>1645.5766462983447</v>
      </c>
      <c r="AW7" s="74">
        <f t="shared" si="12"/>
        <v>248.88643264583166</v>
      </c>
      <c r="AX7" s="74">
        <f t="shared" si="13"/>
        <v>12386.446216336561</v>
      </c>
      <c r="AY7" s="510">
        <f t="shared" si="14"/>
        <v>12635.332648982392</v>
      </c>
      <c r="AZ7" s="168">
        <f t="shared" si="13"/>
        <v>7.0000000000032259E-3</v>
      </c>
      <c r="BA7" s="72">
        <f t="shared" si="13"/>
        <v>7.0000000000005613E-3</v>
      </c>
      <c r="BB7" s="72">
        <f t="shared" si="13"/>
        <v>6.9999999999998952E-3</v>
      </c>
      <c r="BC7" s="731">
        <f t="shared" si="15"/>
        <v>2.1000000000003682E-2</v>
      </c>
      <c r="BD7" s="73">
        <f t="shared" si="13"/>
        <v>6.9999999999954526E-3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731">
        <f t="shared" si="16"/>
        <v>2.1000000000000001E-2</v>
      </c>
      <c r="BI7" s="75">
        <f t="shared" si="13"/>
        <v>-8272.0902019642763</v>
      </c>
      <c r="BJ7" s="168">
        <f t="shared" si="17"/>
        <v>-1.4000000000003225E-2</v>
      </c>
      <c r="BK7" s="72">
        <f t="shared" si="18"/>
        <v>-1.3999999999886874E-2</v>
      </c>
      <c r="BL7" s="72">
        <f t="shared" si="19"/>
        <v>-1.4000000000070949E-2</v>
      </c>
      <c r="BM7" s="731">
        <f t="shared" si="20"/>
        <v>-4.1999999999961048E-2</v>
      </c>
      <c r="BN7" s="73">
        <f t="shared" si="21"/>
        <v>-1.3999999999214197E-2</v>
      </c>
      <c r="BO7" s="167">
        <f t="shared" si="22"/>
        <v>120602.34029442044</v>
      </c>
      <c r="BP7" s="74">
        <f t="shared" si="23"/>
        <v>95295.029257792237</v>
      </c>
      <c r="BQ7" s="74">
        <f t="shared" si="24"/>
        <v>95228.384777018713</v>
      </c>
      <c r="BR7" s="173">
        <f t="shared" si="25"/>
        <v>103924.89413874689</v>
      </c>
      <c r="BS7" s="75">
        <f t="shared" si="26"/>
        <v>7421.0084818891492</v>
      </c>
      <c r="BT7" s="72"/>
      <c r="BU7" s="663">
        <f t="shared" ref="BU7:BU18" si="29">AL7</f>
        <v>2019</v>
      </c>
      <c r="BV7" s="669">
        <f t="shared" ref="BV7:BV18" si="30">G7</f>
        <v>1977.8089696338936</v>
      </c>
      <c r="BW7" s="684">
        <f t="shared" ref="BW7:BW18" si="31">D7</f>
        <v>777.71486816328286</v>
      </c>
      <c r="BX7" s="684">
        <f t="shared" ref="BX7:BX18" si="32">E7</f>
        <v>1098.9965669557278</v>
      </c>
      <c r="BY7" s="685">
        <f t="shared" ref="BY7:BY18" si="33">F7</f>
        <v>101.09753451488311</v>
      </c>
      <c r="BZ7" s="674">
        <f t="shared" ref="BZ7:BZ18" si="34">L7</f>
        <v>1977.8089696338943</v>
      </c>
      <c r="CA7" s="675">
        <f t="shared" ref="CA7:CA18" si="35">AH7</f>
        <v>83738.595456875788</v>
      </c>
      <c r="CB7" s="669">
        <f t="shared" ref="CB7:CB18" si="36">AQ7</f>
        <v>1645.5766462983449</v>
      </c>
      <c r="CC7" s="684">
        <f t="shared" ref="CC7:CC18" si="37">AN7</f>
        <v>561.42673280612155</v>
      </c>
      <c r="CD7" s="684">
        <f t="shared" ref="CD7:CD18" si="38">AO7</f>
        <v>977.66183659706996</v>
      </c>
      <c r="CE7" s="685">
        <f>AP7</f>
        <v>106.48807689515336</v>
      </c>
      <c r="CF7" s="674">
        <f t="shared" ref="CF7:CF18" si="39">AV7</f>
        <v>1645.5766462983447</v>
      </c>
      <c r="CG7" s="675">
        <f t="shared" ref="CG7:CG18" si="40">BR7</f>
        <v>103924.89413874689</v>
      </c>
      <c r="CH7" s="660">
        <f>CG7/CA7*100-100</f>
        <v>24.106325848594821</v>
      </c>
    </row>
    <row r="8" spans="1:86" x14ac:dyDescent="0.3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658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658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658">
        <f t="shared" si="10"/>
        <v>87805.359693171747</v>
      </c>
      <c r="AI8" s="116">
        <f t="shared" si="11"/>
        <v>7618.8852684241492</v>
      </c>
      <c r="AK8" s="353">
        <v>8</v>
      </c>
      <c r="AL8" s="356">
        <v>2020</v>
      </c>
      <c r="AM8" s="357" t="s">
        <v>57</v>
      </c>
      <c r="AN8" s="167">
        <f t="shared" si="12"/>
        <v>597.57316580963334</v>
      </c>
      <c r="AO8" s="74">
        <f t="shared" si="12"/>
        <v>1043.7109461740313</v>
      </c>
      <c r="AP8" s="74">
        <f t="shared" si="12"/>
        <v>107.03280117839864</v>
      </c>
      <c r="AQ8" s="173">
        <f t="shared" si="27"/>
        <v>1748.3169131620632</v>
      </c>
      <c r="AR8" s="75">
        <f t="shared" si="12"/>
        <v>4503.2090816600357</v>
      </c>
      <c r="AS8" s="167">
        <f t="shared" si="12"/>
        <v>597.57316580963322</v>
      </c>
      <c r="AT8" s="74">
        <f t="shared" si="12"/>
        <v>1043.7109461740311</v>
      </c>
      <c r="AU8" s="74">
        <f t="shared" si="12"/>
        <v>107.03280117839869</v>
      </c>
      <c r="AV8" s="173">
        <f t="shared" si="28"/>
        <v>1748.316913162063</v>
      </c>
      <c r="AW8" s="74">
        <f t="shared" si="12"/>
        <v>259.76120378490805</v>
      </c>
      <c r="AX8" s="74">
        <f t="shared" si="13"/>
        <v>13227.889453500302</v>
      </c>
      <c r="AY8" s="510">
        <f t="shared" si="14"/>
        <v>13487.65065728521</v>
      </c>
      <c r="AZ8" s="168">
        <f t="shared" si="13"/>
        <v>7.0000000000058904E-3</v>
      </c>
      <c r="BA8" s="72">
        <f t="shared" si="13"/>
        <v>7.0000000000276508E-3</v>
      </c>
      <c r="BB8" s="72">
        <f t="shared" si="13"/>
        <v>6.9999999999992291E-3</v>
      </c>
      <c r="BC8" s="731">
        <f t="shared" si="15"/>
        <v>2.100000000003277E-2</v>
      </c>
      <c r="BD8" s="73">
        <f t="shared" si="13"/>
        <v>6.9999999999954526E-3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731">
        <f t="shared" si="16"/>
        <v>2.1000000000000001E-2</v>
      </c>
      <c r="BI8" s="75">
        <f t="shared" si="13"/>
        <v>-8984.4345756251732</v>
      </c>
      <c r="BJ8" s="168">
        <f t="shared" si="17"/>
        <v>-1.3999999999892203E-2</v>
      </c>
      <c r="BK8" s="72">
        <f t="shared" si="18"/>
        <v>-1.3999999999800276E-2</v>
      </c>
      <c r="BL8" s="72">
        <f t="shared" si="19"/>
        <v>-1.4000000000041861E-2</v>
      </c>
      <c r="BM8" s="731">
        <f t="shared" si="20"/>
        <v>-4.199999999973434E-2</v>
      </c>
      <c r="BN8" s="73">
        <f t="shared" si="21"/>
        <v>-1.4000000001033186E-2</v>
      </c>
      <c r="BO8" s="167">
        <f t="shared" si="22"/>
        <v>130870.66682997833</v>
      </c>
      <c r="BP8" s="74">
        <f t="shared" si="23"/>
        <v>102221.7647785794</v>
      </c>
      <c r="BQ8" s="74">
        <f t="shared" si="24"/>
        <v>93190.35151563042</v>
      </c>
      <c r="BR8" s="173">
        <f t="shared" si="25"/>
        <v>111461.02655891432</v>
      </c>
      <c r="BS8" s="75">
        <f t="shared" si="26"/>
        <v>7642.2438156598218</v>
      </c>
      <c r="BT8" s="72"/>
      <c r="BU8" s="356">
        <f t="shared" si="29"/>
        <v>2020</v>
      </c>
      <c r="BV8" s="670">
        <f t="shared" si="30"/>
        <v>2054.9007244576978</v>
      </c>
      <c r="BW8" s="686">
        <f t="shared" si="31"/>
        <v>801.81352268981232</v>
      </c>
      <c r="BX8" s="686">
        <f t="shared" si="32"/>
        <v>1146.5703782895469</v>
      </c>
      <c r="BY8" s="687">
        <f t="shared" si="33"/>
        <v>106.51682347833854</v>
      </c>
      <c r="BZ8" s="676">
        <f t="shared" si="34"/>
        <v>2054.9007244576978</v>
      </c>
      <c r="CA8" s="677">
        <f t="shared" si="35"/>
        <v>87805.359693171747</v>
      </c>
      <c r="CB8" s="670">
        <f t="shared" si="36"/>
        <v>1748.3169131620632</v>
      </c>
      <c r="CC8" s="686">
        <f t="shared" si="37"/>
        <v>597.57316580963334</v>
      </c>
      <c r="CD8" s="686">
        <f t="shared" si="38"/>
        <v>1043.7109461740313</v>
      </c>
      <c r="CE8" s="687">
        <f t="shared" ref="CE8:CE18" si="41">AP8</f>
        <v>107.03280117839864</v>
      </c>
      <c r="CF8" s="676">
        <f t="shared" si="39"/>
        <v>1748.316913162063</v>
      </c>
      <c r="CG8" s="677">
        <f t="shared" si="40"/>
        <v>111461.02655891432</v>
      </c>
      <c r="CH8" s="660">
        <f t="shared" ref="CH8:CH17" si="42">CG8/CA8*100-100</f>
        <v>26.941028370483593</v>
      </c>
    </row>
    <row r="9" spans="1:86" x14ac:dyDescent="0.3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658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658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658">
        <f t="shared" si="10"/>
        <v>91597.777672046024</v>
      </c>
      <c r="AI9" s="116">
        <f t="shared" si="11"/>
        <v>7874.364657370711</v>
      </c>
      <c r="AK9" s="353">
        <v>8</v>
      </c>
      <c r="AL9" s="356">
        <v>2021</v>
      </c>
      <c r="AM9" s="357" t="s">
        <v>57</v>
      </c>
      <c r="AN9" s="167">
        <f t="shared" si="12"/>
        <v>615.80720452500702</v>
      </c>
      <c r="AO9" s="74">
        <f t="shared" si="12"/>
        <v>1094.5736513351226</v>
      </c>
      <c r="AP9" s="74">
        <f t="shared" si="12"/>
        <v>113.66355054731915</v>
      </c>
      <c r="AQ9" s="173">
        <f t="shared" si="27"/>
        <v>1824.0444064074486</v>
      </c>
      <c r="AR9" s="75">
        <f t="shared" si="12"/>
        <v>4685.3900596601552</v>
      </c>
      <c r="AS9" s="167">
        <f t="shared" si="12"/>
        <v>615.80720452500714</v>
      </c>
      <c r="AT9" s="74">
        <f t="shared" si="12"/>
        <v>1094.5736513351226</v>
      </c>
      <c r="AU9" s="74">
        <f t="shared" si="12"/>
        <v>113.66355054731912</v>
      </c>
      <c r="AV9" s="173">
        <f t="shared" si="28"/>
        <v>1824.0444064074488</v>
      </c>
      <c r="AW9" s="74">
        <f t="shared" si="12"/>
        <v>268.91570000166718</v>
      </c>
      <c r="AX9" s="74">
        <f t="shared" si="13"/>
        <v>13937.268248270611</v>
      </c>
      <c r="AY9" s="510">
        <f t="shared" si="14"/>
        <v>14206.183948272279</v>
      </c>
      <c r="AZ9" s="168">
        <f t="shared" si="13"/>
        <v>7.0000000000209894E-3</v>
      </c>
      <c r="BA9" s="72">
        <f t="shared" si="13"/>
        <v>7.0000000000005613E-3</v>
      </c>
      <c r="BB9" s="72">
        <f t="shared" si="13"/>
        <v>6.9999999999994511E-3</v>
      </c>
      <c r="BC9" s="731">
        <f t="shared" si="15"/>
        <v>2.1000000000021002E-2</v>
      </c>
      <c r="BD9" s="73">
        <f t="shared" si="13"/>
        <v>7.000000000002558E-3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731">
        <f t="shared" si="16"/>
        <v>2.1000000000000001E-2</v>
      </c>
      <c r="BI9" s="75">
        <f t="shared" si="13"/>
        <v>-9520.7868886121214</v>
      </c>
      <c r="BJ9" s="168">
        <f t="shared" si="17"/>
        <v>-1.4000000000134676E-2</v>
      </c>
      <c r="BK9" s="72">
        <f t="shared" si="18"/>
        <v>-1.4000000000000561E-2</v>
      </c>
      <c r="BL9" s="72">
        <f t="shared" si="19"/>
        <v>-1.3999999999971029E-2</v>
      </c>
      <c r="BM9" s="731">
        <f t="shared" si="20"/>
        <v>-4.2000000000106265E-2</v>
      </c>
      <c r="BN9" s="73">
        <f t="shared" si="21"/>
        <v>-1.4000000001033186E-2</v>
      </c>
      <c r="BO9" s="167">
        <f t="shared" si="22"/>
        <v>138307.77056000195</v>
      </c>
      <c r="BP9" s="74">
        <f t="shared" si="23"/>
        <v>105829.02638285777</v>
      </c>
      <c r="BQ9" s="74">
        <f t="shared" si="24"/>
        <v>95833.975984896344</v>
      </c>
      <c r="BR9" s="173">
        <f t="shared" si="25"/>
        <v>116171.19331465583</v>
      </c>
      <c r="BS9" s="75">
        <f t="shared" si="26"/>
        <v>7898.7829608529219</v>
      </c>
      <c r="BT9" s="72"/>
      <c r="BU9" s="356">
        <f t="shared" si="29"/>
        <v>2021</v>
      </c>
      <c r="BV9" s="670">
        <f t="shared" si="30"/>
        <v>2142.0950724394679</v>
      </c>
      <c r="BW9" s="686">
        <f t="shared" si="31"/>
        <v>826.52329291544686</v>
      </c>
      <c r="BX9" s="686">
        <f t="shared" si="32"/>
        <v>1202.4645406737181</v>
      </c>
      <c r="BY9" s="687">
        <f t="shared" si="33"/>
        <v>113.10723885030285</v>
      </c>
      <c r="BZ9" s="676">
        <f t="shared" si="34"/>
        <v>2142.0950724394679</v>
      </c>
      <c r="CA9" s="677">
        <f t="shared" si="35"/>
        <v>91597.777672046024</v>
      </c>
      <c r="CB9" s="670">
        <f t="shared" si="36"/>
        <v>1824.0444064074486</v>
      </c>
      <c r="CC9" s="686">
        <f t="shared" si="37"/>
        <v>615.80720452500702</v>
      </c>
      <c r="CD9" s="686">
        <f t="shared" si="38"/>
        <v>1094.5736513351226</v>
      </c>
      <c r="CE9" s="687">
        <f t="shared" si="41"/>
        <v>113.66355054731915</v>
      </c>
      <c r="CF9" s="676">
        <f t="shared" si="39"/>
        <v>1824.0444064074488</v>
      </c>
      <c r="CG9" s="677">
        <f t="shared" si="40"/>
        <v>116171.19331465583</v>
      </c>
      <c r="CH9" s="660">
        <f t="shared" si="42"/>
        <v>26.827523840798563</v>
      </c>
    </row>
    <row r="10" spans="1:86" x14ac:dyDescent="0.3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658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658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658">
        <f t="shared" si="10"/>
        <v>95042.296546344034</v>
      </c>
      <c r="AI10" s="116">
        <f t="shared" si="11"/>
        <v>8137.4666284626792</v>
      </c>
      <c r="AK10" s="353">
        <v>8</v>
      </c>
      <c r="AL10" s="356">
        <v>2022</v>
      </c>
      <c r="AM10" s="357" t="s">
        <v>57</v>
      </c>
      <c r="AN10" s="167">
        <f t="shared" si="12"/>
        <v>634.55465047247912</v>
      </c>
      <c r="AO10" s="74">
        <f t="shared" si="12"/>
        <v>1154.0374508997315</v>
      </c>
      <c r="AP10" s="74">
        <f t="shared" si="12"/>
        <v>121.66103980911275</v>
      </c>
      <c r="AQ10" s="173">
        <f t="shared" si="27"/>
        <v>1910.2531411813234</v>
      </c>
      <c r="AR10" s="75">
        <f t="shared" si="12"/>
        <v>4891.8019359395721</v>
      </c>
      <c r="AS10" s="167">
        <f t="shared" si="12"/>
        <v>634.55465047247935</v>
      </c>
      <c r="AT10" s="74">
        <f t="shared" si="12"/>
        <v>1154.0374508997322</v>
      </c>
      <c r="AU10" s="74">
        <f t="shared" si="12"/>
        <v>121.66103980911272</v>
      </c>
      <c r="AV10" s="173">
        <f t="shared" si="28"/>
        <v>1910.2531411813243</v>
      </c>
      <c r="AW10" s="74">
        <f t="shared" si="12"/>
        <v>277.84916322054426</v>
      </c>
      <c r="AX10" s="74">
        <f t="shared" si="13"/>
        <v>14707.142739460811</v>
      </c>
      <c r="AY10" s="510">
        <f t="shared" si="14"/>
        <v>14984.991902681355</v>
      </c>
      <c r="AZ10" s="168">
        <f t="shared" si="13"/>
        <v>7.0000000000201013E-3</v>
      </c>
      <c r="BA10" s="72">
        <f t="shared" si="13"/>
        <v>7.0000000000067786E-3</v>
      </c>
      <c r="BB10" s="72">
        <f t="shared" si="13"/>
        <v>7.0000000000003393E-3</v>
      </c>
      <c r="BC10" s="731">
        <f t="shared" si="15"/>
        <v>2.1000000000027219E-2</v>
      </c>
      <c r="BD10" s="73">
        <f t="shared" si="13"/>
        <v>7.000000000002558E-3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731">
        <f t="shared" si="16"/>
        <v>2.1000000000000001E-2</v>
      </c>
      <c r="BI10" s="75">
        <f t="shared" si="13"/>
        <v>-10093.182966741781</v>
      </c>
      <c r="BJ10" s="168">
        <f t="shared" si="17"/>
        <v>-1.4000000000247474E-2</v>
      </c>
      <c r="BK10" s="72">
        <f t="shared" si="18"/>
        <v>-1.4000000000688899E-2</v>
      </c>
      <c r="BL10" s="72">
        <f t="shared" si="19"/>
        <v>-1.3999999999971917E-2</v>
      </c>
      <c r="BM10" s="731">
        <f t="shared" si="20"/>
        <v>-4.200000000090829E-2</v>
      </c>
      <c r="BN10" s="73">
        <f t="shared" si="21"/>
        <v>-1.4000000001033186E-2</v>
      </c>
      <c r="BO10" s="167">
        <f t="shared" si="22"/>
        <v>145971.71236524172</v>
      </c>
      <c r="BP10" s="74">
        <f t="shared" si="23"/>
        <v>108744.70985998151</v>
      </c>
      <c r="BQ10" s="74">
        <f t="shared" si="24"/>
        <v>97633.786336384335</v>
      </c>
      <c r="BR10" s="173">
        <f t="shared" si="25"/>
        <v>120403.26996054004</v>
      </c>
      <c r="BS10" s="75">
        <f t="shared" si="26"/>
        <v>8161.7388289450864</v>
      </c>
      <c r="BT10" s="72"/>
      <c r="BU10" s="356">
        <f t="shared" si="29"/>
        <v>2022</v>
      </c>
      <c r="BV10" s="670">
        <f t="shared" si="30"/>
        <v>2240.80371174429</v>
      </c>
      <c r="BW10" s="686">
        <f t="shared" si="31"/>
        <v>851.9243209025517</v>
      </c>
      <c r="BX10" s="686">
        <f t="shared" si="32"/>
        <v>1267.8163097109855</v>
      </c>
      <c r="BY10" s="687">
        <f t="shared" si="33"/>
        <v>121.06308113075283</v>
      </c>
      <c r="BZ10" s="676">
        <f t="shared" si="34"/>
        <v>2240.8037117442896</v>
      </c>
      <c r="CA10" s="677">
        <f t="shared" si="35"/>
        <v>95042.296546344034</v>
      </c>
      <c r="CB10" s="670">
        <f t="shared" si="36"/>
        <v>1910.2531411813234</v>
      </c>
      <c r="CC10" s="686">
        <f t="shared" si="37"/>
        <v>634.55465047247912</v>
      </c>
      <c r="CD10" s="686">
        <f t="shared" si="38"/>
        <v>1154.0374508997315</v>
      </c>
      <c r="CE10" s="687">
        <f t="shared" si="41"/>
        <v>121.66103980911275</v>
      </c>
      <c r="CF10" s="676">
        <f t="shared" si="39"/>
        <v>1910.2531411813243</v>
      </c>
      <c r="CG10" s="677">
        <f t="shared" si="40"/>
        <v>120403.26996054004</v>
      </c>
      <c r="CH10" s="660">
        <f t="shared" si="42"/>
        <v>26.683881109532763</v>
      </c>
    </row>
    <row r="11" spans="1:86" x14ac:dyDescent="0.3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658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658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658">
        <f t="shared" si="10"/>
        <v>98071.784680919096</v>
      </c>
      <c r="AI11" s="116">
        <f t="shared" si="11"/>
        <v>8395.3295320456018</v>
      </c>
      <c r="AK11" s="353">
        <v>8</v>
      </c>
      <c r="AL11" s="356">
        <v>2023</v>
      </c>
      <c r="AM11" s="357" t="s">
        <v>57</v>
      </c>
      <c r="AN11" s="167">
        <f t="shared" si="12"/>
        <v>653.84648730446577</v>
      </c>
      <c r="AO11" s="74">
        <f t="shared" si="12"/>
        <v>1223.3042529076447</v>
      </c>
      <c r="AP11" s="74">
        <f t="shared" si="12"/>
        <v>131.2661947638793</v>
      </c>
      <c r="AQ11" s="173">
        <f t="shared" si="27"/>
        <v>2008.41693497599</v>
      </c>
      <c r="AR11" s="75">
        <f t="shared" si="12"/>
        <v>5122.6583367306848</v>
      </c>
      <c r="AS11" s="167">
        <f t="shared" si="12"/>
        <v>653.84648730446588</v>
      </c>
      <c r="AT11" s="74">
        <f t="shared" si="12"/>
        <v>1223.3042529076442</v>
      </c>
      <c r="AU11" s="74">
        <f t="shared" si="12"/>
        <v>131.26619476387935</v>
      </c>
      <c r="AV11" s="173">
        <f t="shared" si="28"/>
        <v>2008.4169349759895</v>
      </c>
      <c r="AW11" s="74">
        <f t="shared" si="12"/>
        <v>286.58464887845611</v>
      </c>
      <c r="AX11" s="74">
        <f t="shared" si="13"/>
        <v>15547.609057216574</v>
      </c>
      <c r="AY11" s="510">
        <f t="shared" si="14"/>
        <v>15834.193706095029</v>
      </c>
      <c r="AZ11" s="168">
        <f t="shared" si="13"/>
        <v>7.0000000000209894E-3</v>
      </c>
      <c r="BA11" s="72">
        <f t="shared" si="13"/>
        <v>6.9999999999899032E-3</v>
      </c>
      <c r="BB11" s="72">
        <f t="shared" si="13"/>
        <v>6.9999999999994511E-3</v>
      </c>
      <c r="BC11" s="731">
        <f t="shared" si="15"/>
        <v>2.1000000000010344E-2</v>
      </c>
      <c r="BD11" s="73">
        <f t="shared" si="13"/>
        <v>7.000000000002558E-3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731">
        <f t="shared" si="16"/>
        <v>2.1000000000000001E-2</v>
      </c>
      <c r="BI11" s="75">
        <f t="shared" si="13"/>
        <v>-10711.528369364343</v>
      </c>
      <c r="BJ11" s="168">
        <f t="shared" si="17"/>
        <v>-1.4000000000134676E-2</v>
      </c>
      <c r="BK11" s="72">
        <f t="shared" si="18"/>
        <v>-1.3999999999535155E-2</v>
      </c>
      <c r="BL11" s="72">
        <f t="shared" si="19"/>
        <v>-1.4000000000056294E-2</v>
      </c>
      <c r="BM11" s="731">
        <f t="shared" si="20"/>
        <v>-4.1999999999726124E-2</v>
      </c>
      <c r="BN11" s="73">
        <f t="shared" si="21"/>
        <v>-1.4000000001033186E-2</v>
      </c>
      <c r="BO11" s="167">
        <f t="shared" si="22"/>
        <v>153847.67188109879</v>
      </c>
      <c r="BP11" s="74">
        <f t="shared" si="23"/>
        <v>110887.1810799555</v>
      </c>
      <c r="BQ11" s="74">
        <f t="shared" si="24"/>
        <v>98524.916944257013</v>
      </c>
      <c r="BR11" s="173">
        <f t="shared" si="25"/>
        <v>124065.13142011265</v>
      </c>
      <c r="BS11" s="75">
        <f t="shared" si="26"/>
        <v>8419.3291964554301</v>
      </c>
      <c r="BT11" s="72"/>
      <c r="BU11" s="356">
        <f t="shared" si="29"/>
        <v>2023</v>
      </c>
      <c r="BV11" s="670">
        <f t="shared" si="30"/>
        <v>2352.5933463255769</v>
      </c>
      <c r="BW11" s="686">
        <f t="shared" si="31"/>
        <v>878.0632207653714</v>
      </c>
      <c r="BX11" s="686">
        <f t="shared" si="32"/>
        <v>1343.911850574166</v>
      </c>
      <c r="BY11" s="687">
        <f t="shared" si="33"/>
        <v>130.61827498603967</v>
      </c>
      <c r="BZ11" s="676">
        <f t="shared" si="34"/>
        <v>2352.5933463255774</v>
      </c>
      <c r="CA11" s="677">
        <f t="shared" si="35"/>
        <v>98071.784680919096</v>
      </c>
      <c r="CB11" s="670">
        <f t="shared" si="36"/>
        <v>2008.41693497599</v>
      </c>
      <c r="CC11" s="686">
        <f t="shared" si="37"/>
        <v>653.84648730446577</v>
      </c>
      <c r="CD11" s="686">
        <f t="shared" si="38"/>
        <v>1223.3042529076447</v>
      </c>
      <c r="CE11" s="687">
        <f t="shared" si="41"/>
        <v>131.2661947638793</v>
      </c>
      <c r="CF11" s="676">
        <f t="shared" si="39"/>
        <v>2008.4169349759895</v>
      </c>
      <c r="CG11" s="677">
        <f t="shared" si="40"/>
        <v>124065.13142011265</v>
      </c>
      <c r="CH11" s="660">
        <f t="shared" si="42"/>
        <v>26.504408810101765</v>
      </c>
    </row>
    <row r="12" spans="1:86" x14ac:dyDescent="0.3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658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658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658">
        <f t="shared" si="10"/>
        <v>100631.90807209849</v>
      </c>
      <c r="AI12" s="116">
        <f t="shared" si="11"/>
        <v>8662.9839790514452</v>
      </c>
      <c r="AK12" s="353">
        <v>8</v>
      </c>
      <c r="AL12" s="356">
        <v>2024</v>
      </c>
      <c r="AM12" s="357" t="s">
        <v>57</v>
      </c>
      <c r="AN12" s="167">
        <f t="shared" si="12"/>
        <v>673.64820406833269</v>
      </c>
      <c r="AO12" s="74">
        <f t="shared" si="12"/>
        <v>1303.6410914249291</v>
      </c>
      <c r="AP12" s="74">
        <f t="shared" si="12"/>
        <v>142.76018718829047</v>
      </c>
      <c r="AQ12" s="173">
        <f t="shared" si="27"/>
        <v>2120.049482681552</v>
      </c>
      <c r="AR12" s="75">
        <f t="shared" si="12"/>
        <v>5386.6446305001982</v>
      </c>
      <c r="AS12" s="167">
        <f t="shared" si="12"/>
        <v>673.64820406833269</v>
      </c>
      <c r="AT12" s="74">
        <f t="shared" si="12"/>
        <v>1303.6410914249288</v>
      </c>
      <c r="AU12" s="74">
        <f t="shared" si="12"/>
        <v>142.76018718829047</v>
      </c>
      <c r="AV12" s="173">
        <f t="shared" si="28"/>
        <v>2120.049482681552</v>
      </c>
      <c r="AW12" s="74">
        <f t="shared" si="12"/>
        <v>294.37421656424709</v>
      </c>
      <c r="AX12" s="74">
        <f t="shared" si="13"/>
        <v>16456.485358714883</v>
      </c>
      <c r="AY12" s="510">
        <f t="shared" si="14"/>
        <v>16750.85957527913</v>
      </c>
      <c r="AZ12" s="168">
        <f t="shared" si="13"/>
        <v>7.000000000013884E-3</v>
      </c>
      <c r="BA12" s="72">
        <f t="shared" si="13"/>
        <v>6.9999999999943441E-3</v>
      </c>
      <c r="BB12" s="72">
        <f t="shared" si="13"/>
        <v>6.999999999999007E-3</v>
      </c>
      <c r="BC12" s="731">
        <f t="shared" si="15"/>
        <v>2.1000000000007235E-2</v>
      </c>
      <c r="BD12" s="73">
        <f t="shared" si="13"/>
        <v>7.000000000002558E-3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731">
        <f t="shared" si="16"/>
        <v>2.1000000000000001E-2</v>
      </c>
      <c r="BI12" s="75">
        <f t="shared" si="13"/>
        <v>-11364.207944778933</v>
      </c>
      <c r="BJ12" s="168">
        <f t="shared" si="17"/>
        <v>-1.4000000000013883E-2</v>
      </c>
      <c r="BK12" s="72">
        <f t="shared" si="18"/>
        <v>-1.399999999976697E-2</v>
      </c>
      <c r="BL12" s="72">
        <f t="shared" si="19"/>
        <v>-1.3999999999999006E-2</v>
      </c>
      <c r="BM12" s="731">
        <f t="shared" si="20"/>
        <v>-4.1999999999779859E-2</v>
      </c>
      <c r="BN12" s="73">
        <f t="shared" si="21"/>
        <v>-1.3999999997395207E-2</v>
      </c>
      <c r="BO12" s="167">
        <f t="shared" si="22"/>
        <v>161925.29060775551</v>
      </c>
      <c r="BP12" s="74">
        <f t="shared" si="23"/>
        <v>112207.07345022059</v>
      </c>
      <c r="BQ12" s="74">
        <f t="shared" si="24"/>
        <v>98478.149443916758</v>
      </c>
      <c r="BR12" s="173">
        <f t="shared" si="25"/>
        <v>127080.61493791023</v>
      </c>
      <c r="BS12" s="75">
        <f t="shared" si="26"/>
        <v>8686.6062272615363</v>
      </c>
      <c r="BT12" s="72"/>
      <c r="BU12" s="356">
        <f t="shared" si="29"/>
        <v>2024</v>
      </c>
      <c r="BV12" s="670">
        <f t="shared" si="30"/>
        <v>2479.1666333627413</v>
      </c>
      <c r="BW12" s="686">
        <f t="shared" si="31"/>
        <v>904.9309865601075</v>
      </c>
      <c r="BX12" s="686">
        <f t="shared" si="32"/>
        <v>1432.1832782050606</v>
      </c>
      <c r="BY12" s="687">
        <f t="shared" si="33"/>
        <v>142.05236859757343</v>
      </c>
      <c r="BZ12" s="676">
        <f t="shared" si="34"/>
        <v>2479.1666333627418</v>
      </c>
      <c r="CA12" s="677">
        <f t="shared" si="35"/>
        <v>100631.90807209849</v>
      </c>
      <c r="CB12" s="670">
        <f t="shared" si="36"/>
        <v>2120.049482681552</v>
      </c>
      <c r="CC12" s="686">
        <f t="shared" si="37"/>
        <v>673.64820406833269</v>
      </c>
      <c r="CD12" s="686">
        <f t="shared" si="38"/>
        <v>1303.6410914249291</v>
      </c>
      <c r="CE12" s="687">
        <f t="shared" si="41"/>
        <v>142.76018718829047</v>
      </c>
      <c r="CF12" s="676">
        <f t="shared" si="39"/>
        <v>2120.049482681552</v>
      </c>
      <c r="CG12" s="677">
        <f t="shared" si="40"/>
        <v>127080.61493791023</v>
      </c>
      <c r="CH12" s="660">
        <f t="shared" si="42"/>
        <v>26.282624837901665</v>
      </c>
    </row>
    <row r="13" spans="1:86" x14ac:dyDescent="0.3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658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658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658">
        <f t="shared" si="10"/>
        <v>102667.605747957</v>
      </c>
      <c r="AI13" s="116">
        <f t="shared" si="11"/>
        <v>8940.8079897800762</v>
      </c>
      <c r="AK13" s="353">
        <v>8</v>
      </c>
      <c r="AL13" s="356">
        <v>2025</v>
      </c>
      <c r="AM13" s="357" t="s">
        <v>57</v>
      </c>
      <c r="AN13" s="167">
        <f t="shared" si="12"/>
        <v>693.9858165839139</v>
      </c>
      <c r="AO13" s="74">
        <f t="shared" si="12"/>
        <v>1396.6748750737515</v>
      </c>
      <c r="AP13" s="74">
        <f t="shared" si="12"/>
        <v>156.50186685453085</v>
      </c>
      <c r="AQ13" s="173">
        <f t="shared" si="27"/>
        <v>2247.1625585121965</v>
      </c>
      <c r="AR13" s="75">
        <f t="shared" si="12"/>
        <v>5687.7562034390448</v>
      </c>
      <c r="AS13" s="167">
        <f t="shared" si="12"/>
        <v>693.98581658391379</v>
      </c>
      <c r="AT13" s="74">
        <f t="shared" si="12"/>
        <v>1396.6748750737511</v>
      </c>
      <c r="AU13" s="74">
        <f t="shared" si="12"/>
        <v>156.50186685453082</v>
      </c>
      <c r="AV13" s="173">
        <f t="shared" si="28"/>
        <v>2247.1625585121956</v>
      </c>
      <c r="AW13" s="74">
        <f t="shared" si="12"/>
        <v>301.20465070685225</v>
      </c>
      <c r="AX13" s="74">
        <f t="shared" si="13"/>
        <v>17445.401937801904</v>
      </c>
      <c r="AY13" s="510">
        <f t="shared" si="14"/>
        <v>17746.606588508756</v>
      </c>
      <c r="AZ13" s="168">
        <f t="shared" si="13"/>
        <v>7.0000000000067786E-3</v>
      </c>
      <c r="BA13" s="72">
        <f t="shared" si="13"/>
        <v>7.000000000028983E-3</v>
      </c>
      <c r="BB13" s="72">
        <f t="shared" si="13"/>
        <v>6.9999999999994511E-3</v>
      </c>
      <c r="BC13" s="731">
        <f t="shared" si="15"/>
        <v>2.1000000000035213E-2</v>
      </c>
      <c r="BD13" s="73">
        <f t="shared" si="13"/>
        <v>6.9999999999954526E-3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7.0000000000000001E-3</v>
      </c>
      <c r="BH13" s="731">
        <f t="shared" si="16"/>
        <v>2.1000000000000001E-2</v>
      </c>
      <c r="BI13" s="75">
        <f t="shared" si="13"/>
        <v>-12058.843385069713</v>
      </c>
      <c r="BJ13" s="168">
        <f t="shared" si="17"/>
        <v>-1.3999999999893091E-2</v>
      </c>
      <c r="BK13" s="72">
        <f t="shared" si="18"/>
        <v>-1.3999999999574235E-2</v>
      </c>
      <c r="BL13" s="72">
        <f t="shared" si="19"/>
        <v>-1.3999999999971029E-2</v>
      </c>
      <c r="BM13" s="731">
        <f t="shared" si="20"/>
        <v>-4.1999999999438355E-2</v>
      </c>
      <c r="BN13" s="73">
        <f t="shared" si="21"/>
        <v>-1.3999999999214197E-2</v>
      </c>
      <c r="BO13" s="167">
        <f t="shared" si="22"/>
        <v>170197.62959913898</v>
      </c>
      <c r="BP13" s="74">
        <f t="shared" si="23"/>
        <v>112684.13780618472</v>
      </c>
      <c r="BQ13" s="74">
        <f t="shared" si="24"/>
        <v>97511.230980718727</v>
      </c>
      <c r="BR13" s="173">
        <f t="shared" si="25"/>
        <v>129389.18621513656</v>
      </c>
      <c r="BS13" s="75">
        <f t="shared" si="26"/>
        <v>8963.9224519055497</v>
      </c>
      <c r="BT13" s="72"/>
      <c r="BU13" s="356">
        <f t="shared" si="29"/>
        <v>2025</v>
      </c>
      <c r="BV13" s="670">
        <f t="shared" si="30"/>
        <v>2622.6794859245224</v>
      </c>
      <c r="BW13" s="686">
        <f t="shared" si="31"/>
        <v>932.54743291140869</v>
      </c>
      <c r="BX13" s="686">
        <f t="shared" si="32"/>
        <v>1534.4107120577901</v>
      </c>
      <c r="BY13" s="687">
        <f t="shared" si="33"/>
        <v>155.72134095532334</v>
      </c>
      <c r="BZ13" s="676">
        <f t="shared" si="34"/>
        <v>2622.6794859245224</v>
      </c>
      <c r="CA13" s="677">
        <f t="shared" si="35"/>
        <v>102667.605747957</v>
      </c>
      <c r="CB13" s="670">
        <f t="shared" si="36"/>
        <v>2247.1625585121965</v>
      </c>
      <c r="CC13" s="686">
        <f t="shared" si="37"/>
        <v>693.9858165839139</v>
      </c>
      <c r="CD13" s="686">
        <f t="shared" si="38"/>
        <v>1396.6748750737515</v>
      </c>
      <c r="CE13" s="687">
        <f t="shared" si="41"/>
        <v>156.50186685453085</v>
      </c>
      <c r="CF13" s="676">
        <f t="shared" si="39"/>
        <v>2247.1625585121956</v>
      </c>
      <c r="CG13" s="677">
        <f t="shared" si="40"/>
        <v>129389.18621513656</v>
      </c>
      <c r="CH13" s="660">
        <f t="shared" si="42"/>
        <v>26.027275373285221</v>
      </c>
    </row>
    <row r="14" spans="1:86" x14ac:dyDescent="0.3">
      <c r="A14" s="111">
        <v>8</v>
      </c>
      <c r="B14" s="112">
        <v>2026</v>
      </c>
      <c r="C14" s="113" t="s">
        <v>57</v>
      </c>
      <c r="D14" s="114">
        <f t="shared" si="0"/>
        <v>897.64391804891409</v>
      </c>
      <c r="E14" s="115">
        <f t="shared" si="0"/>
        <v>1653.6657722355569</v>
      </c>
      <c r="F14" s="115">
        <f t="shared" si="0"/>
        <v>172.22367156418775</v>
      </c>
      <c r="G14" s="658">
        <f t="shared" si="0"/>
        <v>2723.5333618486588</v>
      </c>
      <c r="H14" s="116">
        <f t="shared" si="0"/>
        <v>5922.9045341084175</v>
      </c>
      <c r="I14" s="114">
        <f t="shared" si="0"/>
        <v>897.64391804891397</v>
      </c>
      <c r="J14" s="115">
        <f t="shared" si="0"/>
        <v>1653.6657722355574</v>
      </c>
      <c r="K14" s="115">
        <f t="shared" si="0"/>
        <v>172.2236715641877</v>
      </c>
      <c r="L14" s="658">
        <f t="shared" si="0"/>
        <v>2723.5333618486593</v>
      </c>
      <c r="M14" s="115">
        <f t="shared" si="0"/>
        <v>262.52757799979338</v>
      </c>
      <c r="N14" s="115">
        <f t="shared" si="1"/>
        <v>19559.949640259212</v>
      </c>
      <c r="O14" s="117">
        <f t="shared" si="1"/>
        <v>19822.477218259002</v>
      </c>
      <c r="P14" s="118">
        <f t="shared" si="1"/>
        <v>7.0000000000121076E-3</v>
      </c>
      <c r="Q14" s="119">
        <f t="shared" si="1"/>
        <v>6.9999999999978968E-3</v>
      </c>
      <c r="R14" s="119">
        <f t="shared" si="1"/>
        <v>6.9999999999976747E-3</v>
      </c>
      <c r="S14" s="120">
        <f t="shared" si="1"/>
        <v>2.1000000000022112E-2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-13899.565684150584</v>
      </c>
      <c r="Z14" s="118">
        <f t="shared" si="2"/>
        <v>-1.399999999989842E-2</v>
      </c>
      <c r="AA14" s="119">
        <f t="shared" si="3"/>
        <v>-1.4000000000452643E-2</v>
      </c>
      <c r="AB14" s="119">
        <f t="shared" si="4"/>
        <v>-1.3999999999940831E-2</v>
      </c>
      <c r="AC14" s="120">
        <f t="shared" si="5"/>
        <v>-4.2000000000476857E-2</v>
      </c>
      <c r="AD14" s="121">
        <f t="shared" si="6"/>
        <v>-1.4000000004671165E-2</v>
      </c>
      <c r="AE14" s="114">
        <f t="shared" si="7"/>
        <v>131968.19915084753</v>
      </c>
      <c r="AF14" s="115">
        <f t="shared" si="8"/>
        <v>96409.995506287698</v>
      </c>
      <c r="AG14" s="115">
        <f t="shared" si="9"/>
        <v>92161.457022789997</v>
      </c>
      <c r="AH14" s="658">
        <f t="shared" si="10"/>
        <v>107860.89483388227</v>
      </c>
      <c r="AI14" s="116">
        <f t="shared" si="11"/>
        <v>9215.6529419495473</v>
      </c>
      <c r="AK14" s="353">
        <v>8</v>
      </c>
      <c r="AL14" s="356">
        <v>2026</v>
      </c>
      <c r="AM14" s="357" t="s">
        <v>57</v>
      </c>
      <c r="AN14" s="167">
        <f t="shared" si="12"/>
        <v>667.72874823421785</v>
      </c>
      <c r="AO14" s="74">
        <f t="shared" si="12"/>
        <v>1505.2909924128212</v>
      </c>
      <c r="AP14" s="74">
        <f t="shared" si="12"/>
        <v>173.0980204616952</v>
      </c>
      <c r="AQ14" s="173">
        <f t="shared" si="27"/>
        <v>2346.1177611087342</v>
      </c>
      <c r="AR14" s="75">
        <f t="shared" si="12"/>
        <v>6044.0359029798474</v>
      </c>
      <c r="AS14" s="167">
        <f t="shared" si="12"/>
        <v>667.72874823421796</v>
      </c>
      <c r="AT14" s="74">
        <f t="shared" si="12"/>
        <v>1505.2909924128214</v>
      </c>
      <c r="AU14" s="74">
        <f t="shared" si="12"/>
        <v>173.09802046169517</v>
      </c>
      <c r="AV14" s="173">
        <f t="shared" si="28"/>
        <v>2346.1177611087346</v>
      </c>
      <c r="AW14" s="74">
        <f t="shared" si="12"/>
        <v>319.04392264204648</v>
      </c>
      <c r="AX14" s="74">
        <f t="shared" si="13"/>
        <v>18550.961836950588</v>
      </c>
      <c r="AY14" s="510">
        <f t="shared" si="14"/>
        <v>18870.005759592634</v>
      </c>
      <c r="AZ14" s="168">
        <f t="shared" si="13"/>
        <v>7.0000000000067786E-3</v>
      </c>
      <c r="BA14" s="72">
        <f t="shared" si="13"/>
        <v>6.9999999999952323E-3</v>
      </c>
      <c r="BB14" s="72">
        <f t="shared" si="13"/>
        <v>6.9999999999998952E-3</v>
      </c>
      <c r="BC14" s="731">
        <f t="shared" si="15"/>
        <v>2.1000000000001906E-2</v>
      </c>
      <c r="BD14" s="73">
        <f t="shared" si="13"/>
        <v>6.9999999999954526E-3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7.0000000000000001E-3</v>
      </c>
      <c r="BH14" s="731">
        <f t="shared" si="16"/>
        <v>2.1000000000000001E-2</v>
      </c>
      <c r="BI14" s="75">
        <f t="shared" si="13"/>
        <v>-12825.962856612787</v>
      </c>
      <c r="BJ14" s="168">
        <f t="shared" si="17"/>
        <v>-1.4000000000120465E-2</v>
      </c>
      <c r="BK14" s="72">
        <f t="shared" si="18"/>
        <v>-1.4000000000222605E-2</v>
      </c>
      <c r="BL14" s="72">
        <f t="shared" si="19"/>
        <v>-1.3999999999971473E-2</v>
      </c>
      <c r="BM14" s="731">
        <f t="shared" si="20"/>
        <v>-4.2000000000314543E-2</v>
      </c>
      <c r="BN14" s="73">
        <f t="shared" si="21"/>
        <v>-1.4000000001033186E-2</v>
      </c>
      <c r="BO14" s="167">
        <f t="shared" si="22"/>
        <v>194912.60270815738</v>
      </c>
      <c r="BP14" s="74">
        <f t="shared" si="23"/>
        <v>113235.08075292861</v>
      </c>
      <c r="BQ14" s="74">
        <f t="shared" si="24"/>
        <v>96401.939160681257</v>
      </c>
      <c r="BR14" s="173">
        <f t="shared" si="25"/>
        <v>135239.36666817244</v>
      </c>
      <c r="BS14" s="75">
        <f t="shared" si="26"/>
        <v>9237.7421853688793</v>
      </c>
      <c r="BT14" s="72"/>
      <c r="BU14" s="356">
        <f t="shared" si="29"/>
        <v>2026</v>
      </c>
      <c r="BV14" s="670">
        <f t="shared" si="30"/>
        <v>2723.5333618486588</v>
      </c>
      <c r="BW14" s="686">
        <f t="shared" si="31"/>
        <v>897.64391804891409</v>
      </c>
      <c r="BX14" s="686">
        <f t="shared" si="32"/>
        <v>1653.6657722355569</v>
      </c>
      <c r="BY14" s="687">
        <f t="shared" si="33"/>
        <v>172.22367156418775</v>
      </c>
      <c r="BZ14" s="676">
        <f t="shared" si="34"/>
        <v>2723.5333618486593</v>
      </c>
      <c r="CA14" s="677">
        <f t="shared" si="35"/>
        <v>107860.89483388227</v>
      </c>
      <c r="CB14" s="670">
        <f t="shared" si="36"/>
        <v>2346.1177611087342</v>
      </c>
      <c r="CC14" s="686">
        <f t="shared" si="37"/>
        <v>667.72874823421785</v>
      </c>
      <c r="CD14" s="686">
        <f t="shared" si="38"/>
        <v>1505.2909924128212</v>
      </c>
      <c r="CE14" s="687">
        <f t="shared" si="41"/>
        <v>173.0980204616952</v>
      </c>
      <c r="CF14" s="676">
        <f t="shared" si="39"/>
        <v>2346.1177611087346</v>
      </c>
      <c r="CG14" s="677">
        <f t="shared" si="40"/>
        <v>135239.36666817244</v>
      </c>
      <c r="CH14" s="660">
        <f t="shared" si="42"/>
        <v>25.383130629924835</v>
      </c>
    </row>
    <row r="15" spans="1:86" x14ac:dyDescent="0.3">
      <c r="A15" s="111">
        <v>8</v>
      </c>
      <c r="B15" s="112">
        <v>2027</v>
      </c>
      <c r="C15" s="113" t="s">
        <v>57</v>
      </c>
      <c r="D15" s="114">
        <f t="shared" si="0"/>
        <v>856.50785415385167</v>
      </c>
      <c r="E15" s="115">
        <f t="shared" si="0"/>
        <v>1791.9030904841004</v>
      </c>
      <c r="F15" s="115">
        <f t="shared" si="0"/>
        <v>192.03399496467836</v>
      </c>
      <c r="G15" s="658">
        <f t="shared" si="0"/>
        <v>2840.4449396026298</v>
      </c>
      <c r="H15" s="116">
        <f t="shared" si="0"/>
        <v>6323.4164178039364</v>
      </c>
      <c r="I15" s="114">
        <f t="shared" si="0"/>
        <v>856.50785415385167</v>
      </c>
      <c r="J15" s="115">
        <f t="shared" si="0"/>
        <v>1791.9030904841006</v>
      </c>
      <c r="K15" s="115">
        <f t="shared" si="0"/>
        <v>192.00610379185207</v>
      </c>
      <c r="L15" s="658">
        <f t="shared" si="0"/>
        <v>2840.4170484298047</v>
      </c>
      <c r="M15" s="115">
        <f t="shared" si="0"/>
        <v>274.99543646746736</v>
      </c>
      <c r="N15" s="115">
        <f t="shared" si="1"/>
        <v>20771.481981948949</v>
      </c>
      <c r="O15" s="117">
        <f t="shared" si="1"/>
        <v>21046.477418416416</v>
      </c>
      <c r="P15" s="118">
        <f t="shared" si="1"/>
        <v>7.0000000000085549E-3</v>
      </c>
      <c r="Q15" s="119">
        <f t="shared" si="1"/>
        <v>6.9999999999978968E-3</v>
      </c>
      <c r="R15" s="119">
        <f t="shared" si="1"/>
        <v>7.0000000000027818E-3</v>
      </c>
      <c r="S15" s="120">
        <f t="shared" si="1"/>
        <v>2.1000000000022112E-2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3.4891172826274679E-2</v>
      </c>
      <c r="X15" s="120">
        <f t="shared" si="1"/>
        <v>4.8891172826274684E-2</v>
      </c>
      <c r="Y15" s="116">
        <f t="shared" si="1"/>
        <v>-14723.054000612479</v>
      </c>
      <c r="Z15" s="118">
        <f t="shared" si="2"/>
        <v>-1.4000000000008554E-2</v>
      </c>
      <c r="AA15" s="119">
        <f t="shared" si="3"/>
        <v>-1.400000000022527E-2</v>
      </c>
      <c r="AB15" s="119">
        <f t="shared" si="4"/>
        <v>-1.3999999999990513E-2</v>
      </c>
      <c r="AC15" s="120">
        <f t="shared" si="5"/>
        <v>-4.2000000001203561E-2</v>
      </c>
      <c r="AD15" s="121">
        <f t="shared" si="6"/>
        <v>-1.4000000001033186E-2</v>
      </c>
      <c r="AE15" s="114">
        <f t="shared" si="7"/>
        <v>152568.73476325802</v>
      </c>
      <c r="AF15" s="115">
        <f t="shared" si="8"/>
        <v>96266.721780955457</v>
      </c>
      <c r="AG15" s="115">
        <f t="shared" si="9"/>
        <v>90357.216345593057</v>
      </c>
      <c r="AH15" s="658">
        <f t="shared" si="10"/>
        <v>112844.72930842903</v>
      </c>
      <c r="AI15" s="116">
        <f t="shared" si="11"/>
        <v>9500.4796423500211</v>
      </c>
      <c r="AK15" s="353">
        <v>8</v>
      </c>
      <c r="AL15" s="356">
        <v>2027</v>
      </c>
      <c r="AM15" s="357" t="s">
        <v>57</v>
      </c>
      <c r="AN15" s="167">
        <f t="shared" si="12"/>
        <v>636.87536632901663</v>
      </c>
      <c r="AO15" s="74">
        <f t="shared" si="12"/>
        <v>1631.2144948277091</v>
      </c>
      <c r="AP15" s="74">
        <f t="shared" si="12"/>
        <v>193.00834414434794</v>
      </c>
      <c r="AQ15" s="173">
        <f t="shared" si="27"/>
        <v>2461.0982053010739</v>
      </c>
      <c r="AR15" s="75">
        <f t="shared" si="12"/>
        <v>6451.467993375607</v>
      </c>
      <c r="AS15" s="167">
        <f t="shared" si="12"/>
        <v>636.87536632901652</v>
      </c>
      <c r="AT15" s="74">
        <f t="shared" si="12"/>
        <v>1631.2144948277091</v>
      </c>
      <c r="AU15" s="74">
        <f t="shared" si="12"/>
        <v>193.00834414434777</v>
      </c>
      <c r="AV15" s="173">
        <f t="shared" si="28"/>
        <v>2461.098205301073</v>
      </c>
      <c r="AW15" s="74">
        <f t="shared" si="12"/>
        <v>338.94892417443589</v>
      </c>
      <c r="AX15" s="74">
        <f t="shared" si="13"/>
        <v>19810.119645189043</v>
      </c>
      <c r="AY15" s="510">
        <f t="shared" si="14"/>
        <v>20149.06856936348</v>
      </c>
      <c r="AZ15" s="168">
        <f t="shared" si="13"/>
        <v>7.0000000000174367E-3</v>
      </c>
      <c r="BA15" s="72">
        <f t="shared" si="13"/>
        <v>6.999999999989015E-3</v>
      </c>
      <c r="BB15" s="72">
        <f t="shared" si="13"/>
        <v>6.9999999999983409E-3</v>
      </c>
      <c r="BC15" s="731">
        <f t="shared" si="15"/>
        <v>2.1000000000004793E-2</v>
      </c>
      <c r="BD15" s="73">
        <f t="shared" si="13"/>
        <v>7.0000000000096634E-3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7.0000000000000001E-3</v>
      </c>
      <c r="BH15" s="731">
        <f t="shared" si="16"/>
        <v>2.1000000000000001E-2</v>
      </c>
      <c r="BI15" s="75">
        <f t="shared" si="13"/>
        <v>-13697.593575987876</v>
      </c>
      <c r="BJ15" s="168">
        <f t="shared" si="17"/>
        <v>-1.3999999999903749E-2</v>
      </c>
      <c r="BK15" s="72">
        <f t="shared" si="18"/>
        <v>-1.3999999999989014E-2</v>
      </c>
      <c r="BL15" s="72">
        <f t="shared" si="19"/>
        <v>-1.399999999982781E-2</v>
      </c>
      <c r="BM15" s="731">
        <f t="shared" si="20"/>
        <v>-4.1999999999720573E-2</v>
      </c>
      <c r="BN15" s="73">
        <f t="shared" si="21"/>
        <v>-1.3999999995576218E-2</v>
      </c>
      <c r="BO15" s="167">
        <f t="shared" si="22"/>
        <v>225399.89376228108</v>
      </c>
      <c r="BP15" s="74">
        <f t="shared" si="23"/>
        <v>113040.5897429476</v>
      </c>
      <c r="BQ15" s="74">
        <f t="shared" si="24"/>
        <v>94503.363259295525</v>
      </c>
      <c r="BR15" s="173">
        <f t="shared" si="25"/>
        <v>140662.82496002279</v>
      </c>
      <c r="BS15" s="75">
        <f t="shared" si="26"/>
        <v>9521.497811174786</v>
      </c>
      <c r="BT15" s="72"/>
      <c r="BU15" s="356">
        <f t="shared" si="29"/>
        <v>2027</v>
      </c>
      <c r="BV15" s="670">
        <f t="shared" si="30"/>
        <v>2840.4449396026298</v>
      </c>
      <c r="BW15" s="686">
        <f t="shared" si="31"/>
        <v>856.50785415385167</v>
      </c>
      <c r="BX15" s="686">
        <f t="shared" si="32"/>
        <v>1791.9030904841004</v>
      </c>
      <c r="BY15" s="687">
        <f t="shared" si="33"/>
        <v>192.03399496467836</v>
      </c>
      <c r="BZ15" s="676">
        <f t="shared" si="34"/>
        <v>2840.4170484298047</v>
      </c>
      <c r="CA15" s="677">
        <f t="shared" si="35"/>
        <v>112844.72930842903</v>
      </c>
      <c r="CB15" s="670">
        <f t="shared" si="36"/>
        <v>2461.0982053010739</v>
      </c>
      <c r="CC15" s="686">
        <f t="shared" si="37"/>
        <v>636.87536632901663</v>
      </c>
      <c r="CD15" s="686">
        <f t="shared" si="38"/>
        <v>1631.2144948277091</v>
      </c>
      <c r="CE15" s="687">
        <f t="shared" si="41"/>
        <v>193.00834414434794</v>
      </c>
      <c r="CF15" s="676">
        <f t="shared" si="39"/>
        <v>2461.098205301073</v>
      </c>
      <c r="CG15" s="677">
        <f t="shared" si="40"/>
        <v>140662.82496002279</v>
      </c>
      <c r="CH15" s="660">
        <f t="shared" si="42"/>
        <v>24.65165703535952</v>
      </c>
    </row>
    <row r="16" spans="1:86" x14ac:dyDescent="0.3">
      <c r="A16" s="111">
        <v>8</v>
      </c>
      <c r="B16" s="112">
        <v>2028</v>
      </c>
      <c r="C16" s="113" t="s">
        <v>57</v>
      </c>
      <c r="D16" s="114">
        <f t="shared" si="0"/>
        <v>810.61276606520096</v>
      </c>
      <c r="E16" s="115">
        <f t="shared" si="0"/>
        <v>1952.6960946242134</v>
      </c>
      <c r="F16" s="115">
        <f t="shared" si="0"/>
        <v>219.38583708805922</v>
      </c>
      <c r="G16" s="658">
        <f t="shared" si="0"/>
        <v>2982.6946977774737</v>
      </c>
      <c r="H16" s="116">
        <f t="shared" si="0"/>
        <v>6724.677554353967</v>
      </c>
      <c r="I16" s="114">
        <f t="shared" si="0"/>
        <v>810.6127660652005</v>
      </c>
      <c r="J16" s="115">
        <f t="shared" si="0"/>
        <v>1952.6960946242134</v>
      </c>
      <c r="K16" s="115">
        <f t="shared" si="0"/>
        <v>212.30026249665445</v>
      </c>
      <c r="L16" s="658">
        <f t="shared" si="0"/>
        <v>2975.6091231860687</v>
      </c>
      <c r="M16" s="115">
        <f t="shared" si="0"/>
        <v>292.24387195643124</v>
      </c>
      <c r="N16" s="115">
        <f t="shared" si="1"/>
        <v>22325.568338436224</v>
      </c>
      <c r="O16" s="117">
        <f t="shared" si="1"/>
        <v>22617.812210392654</v>
      </c>
      <c r="P16" s="118">
        <f t="shared" si="1"/>
        <v>7.0000000000085549E-3</v>
      </c>
      <c r="Q16" s="119">
        <f t="shared" si="1"/>
        <v>7.0000000000085549E-3</v>
      </c>
      <c r="R16" s="119">
        <f t="shared" si="1"/>
        <v>6.9999999999993401E-3</v>
      </c>
      <c r="S16" s="120">
        <f t="shared" si="1"/>
        <v>2.099999999997948E-2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7.0925745914047971</v>
      </c>
      <c r="X16" s="120">
        <f t="shared" si="1"/>
        <v>7.1065745914047964</v>
      </c>
      <c r="Y16" s="116">
        <f t="shared" si="1"/>
        <v>-15893.12765603869</v>
      </c>
      <c r="Z16" s="118">
        <f t="shared" si="2"/>
        <v>-1.3999999999553807E-2</v>
      </c>
      <c r="AA16" s="119">
        <f t="shared" si="3"/>
        <v>-1.4000000000008554E-2</v>
      </c>
      <c r="AB16" s="119">
        <f t="shared" si="4"/>
        <v>-1.4000000000032209E-2</v>
      </c>
      <c r="AC16" s="120">
        <f t="shared" si="5"/>
        <v>-4.1999999999755566E-2</v>
      </c>
      <c r="AD16" s="121">
        <f t="shared" si="6"/>
        <v>-1.3999999997395207E-2</v>
      </c>
      <c r="AE16" s="114">
        <f t="shared" si="7"/>
        <v>178415.23024661461</v>
      </c>
      <c r="AF16" s="115">
        <f t="shared" si="8"/>
        <v>95679.134439367495</v>
      </c>
      <c r="AG16" s="115">
        <f t="shared" si="9"/>
        <v>89701.231273671423</v>
      </c>
      <c r="AH16" s="658">
        <f t="shared" si="10"/>
        <v>117791.52297581598</v>
      </c>
      <c r="AI16" s="116">
        <f t="shared" si="11"/>
        <v>9754.4748067038508</v>
      </c>
      <c r="AK16" s="353">
        <v>8</v>
      </c>
      <c r="AL16" s="356">
        <v>2028</v>
      </c>
      <c r="AM16" s="357" t="s">
        <v>57</v>
      </c>
      <c r="AN16" s="167">
        <f t="shared" si="12"/>
        <v>602.14859957157694</v>
      </c>
      <c r="AO16" s="74">
        <f t="shared" si="12"/>
        <v>1777.2587744367015</v>
      </c>
      <c r="AP16" s="74">
        <f t="shared" si="12"/>
        <v>216.95566856842362</v>
      </c>
      <c r="AQ16" s="173">
        <f t="shared" si="27"/>
        <v>2596.3630425767024</v>
      </c>
      <c r="AR16" s="75">
        <f t="shared" si="12"/>
        <v>6917.2596360332855</v>
      </c>
      <c r="AS16" s="167">
        <f t="shared" si="12"/>
        <v>602.14859957157682</v>
      </c>
      <c r="AT16" s="74">
        <f t="shared" si="12"/>
        <v>1777.2587744367017</v>
      </c>
      <c r="AU16" s="74">
        <f t="shared" si="12"/>
        <v>216.95566856842373</v>
      </c>
      <c r="AV16" s="173">
        <f t="shared" si="28"/>
        <v>2596.3630425767024</v>
      </c>
      <c r="AW16" s="74">
        <f t="shared" si="12"/>
        <v>360.79579775975753</v>
      </c>
      <c r="AX16" s="74">
        <f t="shared" si="13"/>
        <v>21262.015854711339</v>
      </c>
      <c r="AY16" s="510">
        <f t="shared" si="14"/>
        <v>21622.811652471097</v>
      </c>
      <c r="AZ16" s="168">
        <f t="shared" si="13"/>
        <v>7.0000000000032259E-3</v>
      </c>
      <c r="BA16" s="72">
        <f t="shared" si="13"/>
        <v>6.9999999999978968E-3</v>
      </c>
      <c r="BB16" s="72">
        <f t="shared" si="13"/>
        <v>7.0000000000021156E-3</v>
      </c>
      <c r="BC16" s="731">
        <f t="shared" si="15"/>
        <v>2.1000000000003238E-2</v>
      </c>
      <c r="BD16" s="73">
        <f t="shared" si="13"/>
        <v>7.0000000000096634E-3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7.0000000000000001E-3</v>
      </c>
      <c r="BH16" s="731">
        <f t="shared" si="16"/>
        <v>2.1000000000000001E-2</v>
      </c>
      <c r="BI16" s="75">
        <f t="shared" si="13"/>
        <v>-14705.545016437814</v>
      </c>
      <c r="BJ16" s="168">
        <f t="shared" si="17"/>
        <v>-1.3999999999889538E-2</v>
      </c>
      <c r="BK16" s="72">
        <f t="shared" si="18"/>
        <v>-1.400000000022527E-2</v>
      </c>
      <c r="BL16" s="72">
        <f t="shared" si="19"/>
        <v>-1.4000000000115802E-2</v>
      </c>
      <c r="BM16" s="731">
        <f t="shared" si="20"/>
        <v>-4.200000000023061E-2</v>
      </c>
      <c r="BN16" s="73">
        <f t="shared" si="21"/>
        <v>-1.3999999995576218E-2</v>
      </c>
      <c r="BO16" s="167">
        <f t="shared" si="22"/>
        <v>263205.90475742263</v>
      </c>
      <c r="BP16" s="74">
        <f t="shared" si="23"/>
        <v>112104.99250496949</v>
      </c>
      <c r="BQ16" s="74">
        <f t="shared" si="24"/>
        <v>91864.870350684112</v>
      </c>
      <c r="BR16" s="173">
        <f t="shared" si="25"/>
        <v>145457.02843095252</v>
      </c>
      <c r="BS16" s="75">
        <f t="shared" si="26"/>
        <v>9815.6304301596374</v>
      </c>
      <c r="BT16" s="72"/>
      <c r="BU16" s="356">
        <f t="shared" si="29"/>
        <v>2028</v>
      </c>
      <c r="BV16" s="670">
        <f t="shared" si="30"/>
        <v>2982.6946977774737</v>
      </c>
      <c r="BW16" s="686">
        <f t="shared" si="31"/>
        <v>810.61276606520096</v>
      </c>
      <c r="BX16" s="686">
        <f t="shared" si="32"/>
        <v>1952.6960946242134</v>
      </c>
      <c r="BY16" s="687">
        <f t="shared" si="33"/>
        <v>219.38583708805922</v>
      </c>
      <c r="BZ16" s="676">
        <f t="shared" si="34"/>
        <v>2975.6091231860687</v>
      </c>
      <c r="CA16" s="677">
        <f t="shared" si="35"/>
        <v>117791.52297581598</v>
      </c>
      <c r="CB16" s="670">
        <f t="shared" si="36"/>
        <v>2596.3630425767024</v>
      </c>
      <c r="CC16" s="686">
        <f t="shared" si="37"/>
        <v>602.14859957157694</v>
      </c>
      <c r="CD16" s="686">
        <f t="shared" si="38"/>
        <v>1777.2587744367015</v>
      </c>
      <c r="CE16" s="687">
        <f t="shared" si="41"/>
        <v>216.95566856842362</v>
      </c>
      <c r="CF16" s="676">
        <f t="shared" si="39"/>
        <v>2596.3630425767024</v>
      </c>
      <c r="CG16" s="677">
        <f t="shared" si="40"/>
        <v>145457.02843095252</v>
      </c>
      <c r="CH16" s="660">
        <f t="shared" si="42"/>
        <v>23.486839083332512</v>
      </c>
    </row>
    <row r="17" spans="1:86" x14ac:dyDescent="0.3">
      <c r="A17" s="111">
        <v>8</v>
      </c>
      <c r="B17" s="112">
        <v>2029</v>
      </c>
      <c r="C17" s="113" t="s">
        <v>57</v>
      </c>
      <c r="D17" s="114">
        <f t="shared" si="0"/>
        <v>760.12160004139923</v>
      </c>
      <c r="E17" s="115">
        <f t="shared" si="0"/>
        <v>2139.4847473800505</v>
      </c>
      <c r="F17" s="115">
        <f t="shared" si="0"/>
        <v>255.33920167798976</v>
      </c>
      <c r="G17" s="658">
        <f t="shared" si="0"/>
        <v>3154.9455490994396</v>
      </c>
      <c r="H17" s="116">
        <f t="shared" si="0"/>
        <v>7251.779001323348</v>
      </c>
      <c r="I17" s="114">
        <f t="shared" si="0"/>
        <v>760.12160004139923</v>
      </c>
      <c r="J17" s="115">
        <f t="shared" si="0"/>
        <v>2139.4847473800505</v>
      </c>
      <c r="K17" s="115">
        <f t="shared" si="0"/>
        <v>234.26768765480352</v>
      </c>
      <c r="L17" s="658">
        <f t="shared" si="0"/>
        <v>3133.8740350762537</v>
      </c>
      <c r="M17" s="115">
        <f t="shared" si="0"/>
        <v>311.80510373476272</v>
      </c>
      <c r="N17" s="115">
        <f t="shared" si="1"/>
        <v>24160.953830395498</v>
      </c>
      <c r="O17" s="117">
        <f t="shared" si="1"/>
        <v>24472.758934130259</v>
      </c>
      <c r="P17" s="118">
        <f t="shared" si="1"/>
        <v>7.0000000000050022E-3</v>
      </c>
      <c r="Q17" s="119">
        <f t="shared" si="1"/>
        <v>6.9999999999978968E-3</v>
      </c>
      <c r="R17" s="119">
        <f t="shared" si="1"/>
        <v>6.9999999999994511E-3</v>
      </c>
      <c r="S17" s="120">
        <f t="shared" si="1"/>
        <v>2.1000000000029218E-2</v>
      </c>
      <c r="T17" s="121">
        <f t="shared" si="1"/>
        <v>7.0000000000238743E-3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21.078514023186237</v>
      </c>
      <c r="X17" s="120">
        <f t="shared" si="1"/>
        <v>21.092514023186236</v>
      </c>
      <c r="Y17" s="116">
        <f t="shared" si="1"/>
        <v>-17220.972932806912</v>
      </c>
      <c r="Z17" s="118">
        <f t="shared" si="2"/>
        <v>-1.4000000000005001E-2</v>
      </c>
      <c r="AA17" s="119">
        <f t="shared" si="3"/>
        <v>-1.3999999999997896E-2</v>
      </c>
      <c r="AB17" s="119">
        <f t="shared" si="4"/>
        <v>-1.3999999999995794E-2</v>
      </c>
      <c r="AC17" s="120">
        <f t="shared" si="5"/>
        <v>-4.2000000000310678E-2</v>
      </c>
      <c r="AD17" s="121">
        <f t="shared" si="6"/>
        <v>-1.4000000002852175E-2</v>
      </c>
      <c r="AE17" s="114">
        <f t="shared" si="7"/>
        <v>210826.96316854795</v>
      </c>
      <c r="AF17" s="115">
        <f t="shared" si="8"/>
        <v>94552.607705903429</v>
      </c>
      <c r="AG17" s="115">
        <f t="shared" si="9"/>
        <v>89452.40095276713</v>
      </c>
      <c r="AH17" s="658">
        <f t="shared" si="10"/>
        <v>122373.71171313825</v>
      </c>
      <c r="AI17" s="116">
        <f t="shared" si="11"/>
        <v>10063.446868975441</v>
      </c>
      <c r="AK17" s="503">
        <v>8</v>
      </c>
      <c r="AL17" s="356">
        <v>2029</v>
      </c>
      <c r="AM17" s="357" t="s">
        <v>57</v>
      </c>
      <c r="AN17" s="167">
        <f t="shared" si="12"/>
        <v>564.80061342366037</v>
      </c>
      <c r="AO17" s="74">
        <f t="shared" si="12"/>
        <v>1947.321706167058</v>
      </c>
      <c r="AP17" s="74">
        <f t="shared" si="12"/>
        <v>249.1470648739446</v>
      </c>
      <c r="AQ17" s="173">
        <f t="shared" si="27"/>
        <v>2761.2693844646628</v>
      </c>
      <c r="AR17" s="75">
        <f t="shared" si="12"/>
        <v>7377.751361431443</v>
      </c>
      <c r="AS17" s="167">
        <f t="shared" si="12"/>
        <v>564.80061342366025</v>
      </c>
      <c r="AT17" s="74">
        <f t="shared" si="12"/>
        <v>1947.3217061670582</v>
      </c>
      <c r="AU17" s="74">
        <f t="shared" si="12"/>
        <v>242.57843383815279</v>
      </c>
      <c r="AV17" s="173">
        <f t="shared" si="28"/>
        <v>2754.7007534288714</v>
      </c>
      <c r="AW17" s="74">
        <f t="shared" si="12"/>
        <v>389.59410192318398</v>
      </c>
      <c r="AX17" s="74">
        <f t="shared" si="13"/>
        <v>23109.518916947305</v>
      </c>
      <c r="AY17" s="510">
        <f t="shared" si="14"/>
        <v>23499.113018870488</v>
      </c>
      <c r="AZ17" s="168">
        <f t="shared" si="13"/>
        <v>7.0000000000014495E-3</v>
      </c>
      <c r="BA17" s="72">
        <f t="shared" si="13"/>
        <v>7.0000000000742801E-3</v>
      </c>
      <c r="BB17" s="72">
        <f t="shared" si="13"/>
        <v>7.0000000000022267E-3</v>
      </c>
      <c r="BC17" s="731">
        <f t="shared" si="15"/>
        <v>2.1000000000077956E-2</v>
      </c>
      <c r="BD17" s="73">
        <f t="shared" si="13"/>
        <v>7.0000000000238743E-3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6.5756310357917629</v>
      </c>
      <c r="BH17" s="731">
        <f t="shared" si="16"/>
        <v>6.5896310357917631</v>
      </c>
      <c r="BI17" s="75">
        <f t="shared" si="13"/>
        <v>-16121.35465743904</v>
      </c>
      <c r="BJ17" s="168">
        <f t="shared" si="17"/>
        <v>-1.3999999999887762E-2</v>
      </c>
      <c r="BK17" s="72">
        <f t="shared" si="18"/>
        <v>-1.4000000000301653E-2</v>
      </c>
      <c r="BL17" s="72">
        <f t="shared" si="19"/>
        <v>-1.3999999999954937E-2</v>
      </c>
      <c r="BM17" s="731">
        <f t="shared" si="20"/>
        <v>-4.2000000000144352E-2</v>
      </c>
      <c r="BN17" s="73">
        <f t="shared" si="21"/>
        <v>-1.4000000006490154E-2</v>
      </c>
      <c r="BO17" s="167">
        <f t="shared" si="22"/>
        <v>310726.26976221538</v>
      </c>
      <c r="BP17" s="74">
        <f t="shared" si="23"/>
        <v>110619.50393550223</v>
      </c>
      <c r="BQ17" s="74">
        <f t="shared" si="24"/>
        <v>90080.179240432102</v>
      </c>
      <c r="BR17" s="173">
        <f t="shared" si="25"/>
        <v>149839.01870059976</v>
      </c>
      <c r="BS17" s="75">
        <f t="shared" si="26"/>
        <v>10086.803502943512</v>
      </c>
      <c r="BT17" s="72"/>
      <c r="BU17" s="356">
        <f t="shared" si="29"/>
        <v>2029</v>
      </c>
      <c r="BV17" s="670">
        <f t="shared" si="30"/>
        <v>3154.9455490994396</v>
      </c>
      <c r="BW17" s="686">
        <f t="shared" si="31"/>
        <v>760.12160004139923</v>
      </c>
      <c r="BX17" s="686">
        <f t="shared" si="32"/>
        <v>2139.4847473800505</v>
      </c>
      <c r="BY17" s="687">
        <f t="shared" si="33"/>
        <v>255.33920167798976</v>
      </c>
      <c r="BZ17" s="676">
        <f t="shared" si="34"/>
        <v>3133.8740350762537</v>
      </c>
      <c r="CA17" s="677">
        <f t="shared" si="35"/>
        <v>122373.71171313825</v>
      </c>
      <c r="CB17" s="670">
        <f t="shared" si="36"/>
        <v>2761.2693844646628</v>
      </c>
      <c r="CC17" s="686">
        <f t="shared" si="37"/>
        <v>564.80061342366037</v>
      </c>
      <c r="CD17" s="686">
        <f t="shared" si="38"/>
        <v>1947.321706167058</v>
      </c>
      <c r="CE17" s="687">
        <f t="shared" si="41"/>
        <v>249.1470648739446</v>
      </c>
      <c r="CF17" s="676">
        <f t="shared" si="39"/>
        <v>2754.7007534288714</v>
      </c>
      <c r="CG17" s="677">
        <f t="shared" si="40"/>
        <v>149839.01870059976</v>
      </c>
      <c r="CH17" s="660">
        <f t="shared" si="42"/>
        <v>22.443796631619833</v>
      </c>
    </row>
    <row r="18" spans="1:86" ht="16.2" thickBot="1" x14ac:dyDescent="0.35">
      <c r="A18" s="122">
        <v>8</v>
      </c>
      <c r="B18" s="123">
        <v>2030</v>
      </c>
      <c r="C18" s="124" t="s">
        <v>57</v>
      </c>
      <c r="D18" s="114">
        <f t="shared" si="0"/>
        <v>706.51807184998381</v>
      </c>
      <c r="E18" s="115">
        <f>SUMIFS(E$19:E$109,$AL$19:$AL$109,$AL18)</f>
        <v>2356.9821070958869</v>
      </c>
      <c r="F18" s="115">
        <f>SUMIFS(F$19:F$109,$AL$19:$AL$109,$AL18)</f>
        <v>300.78532624680139</v>
      </c>
      <c r="G18" s="658">
        <f t="shared" si="0"/>
        <v>3364.2855051926717</v>
      </c>
      <c r="H18" s="116">
        <f t="shared" si="0"/>
        <v>7868.0961485161897</v>
      </c>
      <c r="I18" s="114">
        <f t="shared" si="0"/>
        <v>706.51807184998404</v>
      </c>
      <c r="J18" s="115">
        <f t="shared" si="0"/>
        <v>2356.9821070958869</v>
      </c>
      <c r="K18" s="115">
        <f t="shared" si="0"/>
        <v>259.55218261667801</v>
      </c>
      <c r="L18" s="658">
        <f t="shared" si="0"/>
        <v>3323.0523615625489</v>
      </c>
      <c r="M18" s="115">
        <f t="shared" si="0"/>
        <v>334.58101313630647</v>
      </c>
      <c r="N18" s="115">
        <f t="shared" si="1"/>
        <v>26367.747943211223</v>
      </c>
      <c r="O18" s="117">
        <f t="shared" si="1"/>
        <v>26702.328956347534</v>
      </c>
      <c r="P18" s="118">
        <f t="shared" si="1"/>
        <v>7.0000000000085549E-3</v>
      </c>
      <c r="Q18" s="119">
        <f t="shared" si="1"/>
        <v>7.0000000000050022E-3</v>
      </c>
      <c r="R18" s="119">
        <f t="shared" si="1"/>
        <v>7.0000000000007834E-3</v>
      </c>
      <c r="S18" s="120">
        <f t="shared" si="1"/>
        <v>2.1000000000000796E-2</v>
      </c>
      <c r="T18" s="121">
        <f t="shared" si="1"/>
        <v>6.9999999998817657E-3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41.240143630123413</v>
      </c>
      <c r="X18" s="120">
        <f t="shared" si="1"/>
        <v>41.254143630123409</v>
      </c>
      <c r="Y18" s="116">
        <f t="shared" si="1"/>
        <v>-18834.225807831343</v>
      </c>
      <c r="Z18" s="118">
        <f t="shared" ref="Z18" si="43">D18-I18-P18-U18</f>
        <v>-1.4000000000235928E-2</v>
      </c>
      <c r="AA18" s="119">
        <f t="shared" ref="AA18" si="44">E18-J18-Q18-V18</f>
        <v>-1.4000000000005001E-2</v>
      </c>
      <c r="AB18" s="119">
        <f t="shared" ref="AB18" si="45">F18-K18-R18-W18</f>
        <v>-1.4000000000031321E-2</v>
      </c>
      <c r="AC18" s="120">
        <f t="shared" ref="AC18" si="46">G18-L18-S18-X18</f>
        <v>-4.2000000000541604E-2</v>
      </c>
      <c r="AD18" s="121">
        <f t="shared" ref="AD18" si="47">H18-M18-N18-T18-Y18</f>
        <v>-1.3999999999214197E-2</v>
      </c>
      <c r="AE18" s="114">
        <f t="shared" si="7"/>
        <v>251759.67166276072</v>
      </c>
      <c r="AF18" s="115">
        <f t="shared" si="8"/>
        <v>92881.395352745327</v>
      </c>
      <c r="AG18" s="115">
        <f t="shared" si="9"/>
        <v>88859.390893032964</v>
      </c>
      <c r="AH18" s="658">
        <f t="shared" si="10"/>
        <v>126346.54765901165</v>
      </c>
      <c r="AI18" s="116">
        <f t="shared" si="11"/>
        <v>10387.620803803027</v>
      </c>
      <c r="AK18" s="387">
        <v>8</v>
      </c>
      <c r="AL18" s="358">
        <v>2030</v>
      </c>
      <c r="AM18" s="359" t="s">
        <v>57</v>
      </c>
      <c r="AN18" s="167">
        <f t="shared" si="12"/>
        <v>524.84821475456101</v>
      </c>
      <c r="AO18" s="74">
        <f t="shared" si="12"/>
        <v>2145.4309571147492</v>
      </c>
      <c r="AP18" s="74">
        <f t="shared" si="12"/>
        <v>293.8755932499277</v>
      </c>
      <c r="AQ18" s="173">
        <f>SUM(AN18:AP18)</f>
        <v>2964.1547651192377</v>
      </c>
      <c r="AR18" s="75">
        <f t="shared" si="12"/>
        <v>8005.3977464934105</v>
      </c>
      <c r="AS18" s="167">
        <f t="shared" si="12"/>
        <v>524.84821475456124</v>
      </c>
      <c r="AT18" s="74">
        <f t="shared" si="12"/>
        <v>2145.4309571147492</v>
      </c>
      <c r="AU18" s="74">
        <f t="shared" si="12"/>
        <v>268.46524340020051</v>
      </c>
      <c r="AV18" s="173">
        <f>SUM(AS18:AU18)</f>
        <v>2938.7444152695111</v>
      </c>
      <c r="AW18" s="74">
        <f t="shared" si="12"/>
        <v>425.98471727108381</v>
      </c>
      <c r="AX18" s="74">
        <f t="shared" si="13"/>
        <v>25409.236853666443</v>
      </c>
      <c r="AY18" s="510">
        <f t="shared" si="14"/>
        <v>25835.221570937527</v>
      </c>
      <c r="AZ18" s="168">
        <f>SUMIFS(AZ$19:AZ$109,$AL$19:$AL$109,$AL18)</f>
        <v>7.0000000000032259E-3</v>
      </c>
      <c r="BA18" s="72">
        <f t="shared" si="13"/>
        <v>7.0000000000280949E-3</v>
      </c>
      <c r="BB18" s="72">
        <f t="shared" si="13"/>
        <v>6.9999999999998952E-3</v>
      </c>
      <c r="BC18" s="731">
        <f t="shared" si="15"/>
        <v>2.1000000000031216E-2</v>
      </c>
      <c r="BD18" s="73">
        <f t="shared" si="13"/>
        <v>7.0000000000238743E-3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25.417349849727231</v>
      </c>
      <c r="BH18" s="731">
        <f t="shared" si="16"/>
        <v>25.43134984972723</v>
      </c>
      <c r="BI18" s="75">
        <f t="shared" si="13"/>
        <v>-17829.816824444115</v>
      </c>
      <c r="BJ18" s="168">
        <f t="shared" ref="BJ18" si="48">AN18-AS18-AZ18-BE18</f>
        <v>-1.4000000000230599E-2</v>
      </c>
      <c r="BK18" s="72">
        <f t="shared" ref="BK18" si="49">AO18-AT18-BA18-BF18</f>
        <v>-1.4000000000028094E-2</v>
      </c>
      <c r="BL18" s="72">
        <f t="shared" ref="BL18" si="50">AP18-AU18-BB18-BG18</f>
        <v>-1.4000000000034873E-2</v>
      </c>
      <c r="BM18" s="731">
        <f t="shared" si="20"/>
        <v>-4.2000000000293566E-2</v>
      </c>
      <c r="BN18" s="73">
        <f t="shared" ref="BN18" si="51">AR18-AW18-AX18-BD18-BI18</f>
        <v>-1.4000000002852175E-2</v>
      </c>
      <c r="BO18" s="167">
        <f t="shared" si="22"/>
        <v>371418.43307351245</v>
      </c>
      <c r="BP18" s="74">
        <f t="shared" si="23"/>
        <v>108687.61921138056</v>
      </c>
      <c r="BQ18" s="74">
        <f t="shared" si="24"/>
        <v>89662.696133131452</v>
      </c>
      <c r="BR18" s="173">
        <f t="shared" si="25"/>
        <v>153872.31350521994</v>
      </c>
      <c r="BS18" s="75">
        <f t="shared" si="26"/>
        <v>10409.809948167986</v>
      </c>
      <c r="BT18" s="72"/>
      <c r="BU18" s="358">
        <f t="shared" si="29"/>
        <v>2030</v>
      </c>
      <c r="BV18" s="671">
        <f t="shared" si="30"/>
        <v>3364.2855051926717</v>
      </c>
      <c r="BW18" s="688">
        <f t="shared" si="31"/>
        <v>706.51807184998381</v>
      </c>
      <c r="BX18" s="688">
        <f t="shared" si="32"/>
        <v>2356.9821070958869</v>
      </c>
      <c r="BY18" s="689">
        <f t="shared" si="33"/>
        <v>300.78532624680139</v>
      </c>
      <c r="BZ18" s="678">
        <f t="shared" si="34"/>
        <v>3323.0523615625489</v>
      </c>
      <c r="CA18" s="679">
        <f t="shared" si="35"/>
        <v>126346.54765901165</v>
      </c>
      <c r="CB18" s="671">
        <f t="shared" si="36"/>
        <v>2964.1547651192377</v>
      </c>
      <c r="CC18" s="688">
        <f t="shared" si="37"/>
        <v>524.84821475456101</v>
      </c>
      <c r="CD18" s="688">
        <f t="shared" si="38"/>
        <v>2145.4309571147492</v>
      </c>
      <c r="CE18" s="689">
        <f t="shared" si="41"/>
        <v>293.8755932499277</v>
      </c>
      <c r="CF18" s="678">
        <f t="shared" si="39"/>
        <v>2938.7444152695111</v>
      </c>
      <c r="CG18" s="679">
        <f t="shared" si="40"/>
        <v>153872.31350521994</v>
      </c>
      <c r="CH18" s="660">
        <f>CG18/CA18*100-100</f>
        <v>21.785926371724671</v>
      </c>
    </row>
    <row r="19" spans="1:86" x14ac:dyDescent="0.3">
      <c r="A19" s="352">
        <v>1</v>
      </c>
      <c r="B19" s="80">
        <v>2018</v>
      </c>
      <c r="C19" s="376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52">
        <v>1</v>
      </c>
      <c r="AL19" s="80">
        <v>2018</v>
      </c>
      <c r="AM19" s="80" t="s">
        <v>0</v>
      </c>
      <c r="AN19" s="165">
        <f>SIM_BASE!E6</f>
        <v>220.27144153331335</v>
      </c>
      <c r="AO19" s="70">
        <f>SIM_BASE!F6</f>
        <v>78.745003511188145</v>
      </c>
      <c r="AP19" s="70">
        <f>SIM_BASE!G6</f>
        <v>8.566474183914492</v>
      </c>
      <c r="AQ19" s="94">
        <f>SUM(AN19:AP19)</f>
        <v>307.58291922841596</v>
      </c>
      <c r="AR19" s="71">
        <f>SIM_BASE!H6</f>
        <v>1561.993503385861</v>
      </c>
      <c r="AS19" s="70">
        <f>SIM_BASE!K6</f>
        <v>206.54423966882203</v>
      </c>
      <c r="AT19" s="70">
        <f>SIM_BASE!L6</f>
        <v>77.349103907877819</v>
      </c>
      <c r="AU19" s="70">
        <f>SIM_BASE!M6</f>
        <v>8.4297745249086979</v>
      </c>
      <c r="AV19" s="94">
        <f t="shared" ref="AV19:AV52" si="52">SUM(AS19:AU19)</f>
        <v>292.32311810160854</v>
      </c>
      <c r="AW19" s="70">
        <f>SIM_BASE!N6</f>
        <v>46.752826129324227</v>
      </c>
      <c r="AX19" s="70">
        <f>SIM_BASE!O6</f>
        <v>1761.2290099768259</v>
      </c>
      <c r="AY19" s="97">
        <f t="shared" ref="AY19:AY52" si="53">SUM(AW19:AX19)</f>
        <v>1807.98183610615</v>
      </c>
      <c r="AZ19" s="68">
        <f>SIM_BASE!V6</f>
        <v>13.728201864491339</v>
      </c>
      <c r="BA19" s="68">
        <f>SIM_BASE!W6</f>
        <v>1.3968996033103065</v>
      </c>
      <c r="BB19" s="68">
        <f>SIM_BASE!X6</f>
        <v>0.12829633921437492</v>
      </c>
      <c r="BC19" s="87">
        <f t="shared" ref="BC19:BC52" si="54">SUM(AZ19:BB19)</f>
        <v>15.25339780701602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1.0403319791417218E-2</v>
      </c>
      <c r="BH19" s="87">
        <f t="shared" ref="BH19:BH52" si="55">SUM(BE19:BG19)</f>
        <v>1.2403319791417218E-2</v>
      </c>
      <c r="BI19" s="71">
        <f>SIM_BASE!U6</f>
        <v>-245.98733272028917</v>
      </c>
      <c r="BJ19" s="68">
        <f t="shared" si="17"/>
        <v>-2.0000000000189857E-3</v>
      </c>
      <c r="BK19" s="68">
        <f t="shared" si="18"/>
        <v>-1.99999999998035E-3</v>
      </c>
      <c r="BL19" s="68">
        <f t="shared" si="19"/>
        <v>-1.9999999999980728E-3</v>
      </c>
      <c r="BM19" s="87">
        <f t="shared" ref="BM19:BM52" si="56">SUM(BJ19:BL19)</f>
        <v>-5.9999999999974084E-3</v>
      </c>
      <c r="BN19" s="69">
        <f t="shared" si="21"/>
        <v>-1.9999999998390194E-3</v>
      </c>
      <c r="BO19" s="70">
        <f>SIM_BASE!AB6</f>
        <v>76994.711518395969</v>
      </c>
      <c r="BP19" s="70">
        <f>SIM_BASE!AC6</f>
        <v>79620.37074439456</v>
      </c>
      <c r="BQ19" s="70">
        <f>SIM_BASE!AD6</f>
        <v>82438.713899472627</v>
      </c>
      <c r="BR19" s="94">
        <f>SUMPRODUCT(BO19:BQ19,AS19:AU19)/AV19</f>
        <v>77846.454283391518</v>
      </c>
      <c r="BS19" s="71">
        <f>SIM_BASE!AE6</f>
        <v>7357.4300927930281</v>
      </c>
      <c r="BU19" s="58" t="s">
        <v>156</v>
      </c>
      <c r="BW19" s="237"/>
      <c r="CC19" s="237"/>
    </row>
    <row r="20" spans="1:86" x14ac:dyDescent="0.3">
      <c r="A20" s="353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53">
        <v>1</v>
      </c>
      <c r="AL20" s="81">
        <v>2019</v>
      </c>
      <c r="AM20" s="81" t="s">
        <v>0</v>
      </c>
      <c r="AN20" s="167">
        <f>SIM_BASE!E13</f>
        <v>204.5470913214308</v>
      </c>
      <c r="AO20" s="74">
        <f>SIM_BASE!F13</f>
        <v>82.629325798429093</v>
      </c>
      <c r="AP20" s="74">
        <f>SIM_BASE!G13</f>
        <v>9.4221980562327214</v>
      </c>
      <c r="AQ20" s="95">
        <f t="shared" ref="AQ20:AQ52" si="57">SUM(AN20:AP20)</f>
        <v>296.59861517609261</v>
      </c>
      <c r="AR20" s="75">
        <f>SIM_BASE!H13</f>
        <v>1593.4778386487421</v>
      </c>
      <c r="AS20" s="74">
        <f>SIM_BASE!K13</f>
        <v>176.72271135006932</v>
      </c>
      <c r="AT20" s="74">
        <f>SIM_BASE!L13</f>
        <v>70.268587732902333</v>
      </c>
      <c r="AU20" s="74">
        <f>SIM_BASE!M13</f>
        <v>9.2080325343145404</v>
      </c>
      <c r="AV20" s="95">
        <f t="shared" si="52"/>
        <v>256.19933161728619</v>
      </c>
      <c r="AW20" s="74">
        <f>SIM_BASE!N13</f>
        <v>55.632675442989679</v>
      </c>
      <c r="AX20" s="74">
        <f>SIM_BASE!O13</f>
        <v>1864.9175035200333</v>
      </c>
      <c r="AY20" s="98">
        <f t="shared" si="53"/>
        <v>1920.550178963023</v>
      </c>
      <c r="AZ20" s="72">
        <f>SIM_BASE!V13</f>
        <v>27.825379971361443</v>
      </c>
      <c r="BA20" s="72">
        <f>SIM_BASE!W13</f>
        <v>12.361738065526753</v>
      </c>
      <c r="BB20" s="72">
        <f>SIM_BASE!X13</f>
        <v>0.21516552191818331</v>
      </c>
      <c r="BC20" s="88">
        <f t="shared" si="54"/>
        <v>40.402283558806374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5"/>
        <v>3.0000000000000001E-3</v>
      </c>
      <c r="BI20" s="75">
        <f>SIM_BASE!U13</f>
        <v>-327.07134031428086</v>
      </c>
      <c r="BJ20" s="72">
        <f t="shared" si="17"/>
        <v>-1.9999999999621423E-3</v>
      </c>
      <c r="BK20" s="72">
        <f t="shared" si="18"/>
        <v>-1.9999999999923404E-3</v>
      </c>
      <c r="BL20" s="72">
        <f t="shared" si="19"/>
        <v>-2.0000000000022491E-3</v>
      </c>
      <c r="BM20" s="88">
        <f t="shared" si="56"/>
        <v>-5.9999999999567318E-3</v>
      </c>
      <c r="BN20" s="73">
        <f t="shared" si="21"/>
        <v>-1.9999999999527063E-3</v>
      </c>
      <c r="BO20" s="74">
        <f>SIM_BASE!AB13</f>
        <v>100347.10868825522</v>
      </c>
      <c r="BP20" s="74">
        <f>SIM_BASE!AC13</f>
        <v>95907.43157361378</v>
      </c>
      <c r="BQ20" s="74">
        <f>SIM_BASE!AD13</f>
        <v>94671.58458876553</v>
      </c>
      <c r="BR20" s="95">
        <f t="shared" ref="BR20:BR52" si="58">SUMPRODUCT(BO20:BQ20,AS20:AU20)/AV20</f>
        <v>98925.441234659273</v>
      </c>
      <c r="BS20" s="75">
        <f>SIM_BASE!AE13</f>
        <v>7658.4482016405709</v>
      </c>
      <c r="BU20" s="58" t="s">
        <v>266</v>
      </c>
    </row>
    <row r="21" spans="1:86" x14ac:dyDescent="0.3">
      <c r="A21" s="353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53">
        <v>1</v>
      </c>
      <c r="AL21" s="81">
        <v>2020</v>
      </c>
      <c r="AM21" s="81" t="s">
        <v>0</v>
      </c>
      <c r="AN21" s="167">
        <f>SIM_BASE!E20</f>
        <v>238.56421957912673</v>
      </c>
      <c r="AO21" s="74">
        <f>SIM_BASE!F20</f>
        <v>87.320234429570377</v>
      </c>
      <c r="AP21" s="74">
        <f>SIM_BASE!G20</f>
        <v>9.3780202483070649</v>
      </c>
      <c r="AQ21" s="95">
        <f t="shared" si="57"/>
        <v>335.26247425700416</v>
      </c>
      <c r="AR21" s="75">
        <f>SIM_BASE!H20</f>
        <v>1647.4247271761856</v>
      </c>
      <c r="AS21" s="74">
        <f>SIM_BASE!K20</f>
        <v>165.48338494760452</v>
      </c>
      <c r="AT21" s="74">
        <f>SIM_BASE!L20</f>
        <v>76.046232294657216</v>
      </c>
      <c r="AU21" s="74">
        <f>SIM_BASE!M20</f>
        <v>9.3623690952346745</v>
      </c>
      <c r="AV21" s="95">
        <f t="shared" si="52"/>
        <v>250.89198633749641</v>
      </c>
      <c r="AW21" s="74">
        <f>SIM_BASE!N20</f>
        <v>60.366085081118285</v>
      </c>
      <c r="AX21" s="74">
        <f>SIM_BASE!O20</f>
        <v>2179.1709153916358</v>
      </c>
      <c r="AY21" s="98">
        <f t="shared" si="53"/>
        <v>2239.5370004727542</v>
      </c>
      <c r="AZ21" s="72">
        <f>SIM_BASE!V20</f>
        <v>73.081834631522213</v>
      </c>
      <c r="BA21" s="72">
        <f>SIM_BASE!W20</f>
        <v>11.27500213491315</v>
      </c>
      <c r="BB21" s="72">
        <f>SIM_BASE!X20</f>
        <v>1.6651153072389742E-2</v>
      </c>
      <c r="BC21" s="88">
        <f t="shared" si="54"/>
        <v>84.373487919507753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5"/>
        <v>3.0000000000000001E-3</v>
      </c>
      <c r="BI21" s="75">
        <f>SIM_BASE!U20</f>
        <v>-592.11127329656915</v>
      </c>
      <c r="BJ21" s="72">
        <f t="shared" si="17"/>
        <v>-2.0000000000047749E-3</v>
      </c>
      <c r="BK21" s="72">
        <f t="shared" si="18"/>
        <v>-1.9999999999887877E-3</v>
      </c>
      <c r="BL21" s="72">
        <f t="shared" si="19"/>
        <v>-1.9999999999993417E-3</v>
      </c>
      <c r="BM21" s="88">
        <f t="shared" si="56"/>
        <v>-5.9999999999929042E-3</v>
      </c>
      <c r="BN21" s="73">
        <f t="shared" si="21"/>
        <v>-1.9999999994979589E-3</v>
      </c>
      <c r="BO21" s="74">
        <f>SIM_BASE!AB20</f>
        <v>129239.17095778562</v>
      </c>
      <c r="BP21" s="74">
        <f>SIM_BASE!AC20</f>
        <v>102920.07245558617</v>
      </c>
      <c r="BQ21" s="74">
        <f>SIM_BASE!AD20</f>
        <v>92628.075511898627</v>
      </c>
      <c r="BR21" s="95">
        <f t="shared" si="58"/>
        <v>119895.56895099992</v>
      </c>
      <c r="BS21" s="75">
        <f>SIM_BASE!AE20</f>
        <v>7876.867655246675</v>
      </c>
      <c r="BU21" s="58" t="s">
        <v>267</v>
      </c>
    </row>
    <row r="22" spans="1:86" x14ac:dyDescent="0.3">
      <c r="A22" s="353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53">
        <v>1</v>
      </c>
      <c r="AL22" s="81">
        <v>2021</v>
      </c>
      <c r="AM22" s="81" t="s">
        <v>0</v>
      </c>
      <c r="AN22" s="167">
        <f>SIM_BASE!E27</f>
        <v>245.98371454400709</v>
      </c>
      <c r="AO22" s="74">
        <f>SIM_BASE!F27</f>
        <v>91.494260652669624</v>
      </c>
      <c r="AP22" s="74">
        <f>SIM_BASE!G27</f>
        <v>9.9577774093088784</v>
      </c>
      <c r="AQ22" s="95">
        <f t="shared" si="57"/>
        <v>347.43575260598561</v>
      </c>
      <c r="AR22" s="75">
        <f>SIM_BASE!H27</f>
        <v>1709.8366753428695</v>
      </c>
      <c r="AS22" s="74">
        <f>SIM_BASE!K27</f>
        <v>169.97277186945311</v>
      </c>
      <c r="AT22" s="74">
        <f>SIM_BASE!L27</f>
        <v>79.730490553682088</v>
      </c>
      <c r="AU22" s="74">
        <f>SIM_BASE!M27</f>
        <v>9.9054700490661318</v>
      </c>
      <c r="AV22" s="95">
        <f t="shared" si="52"/>
        <v>259.60873247220132</v>
      </c>
      <c r="AW22" s="74">
        <f>SIM_BASE!N27</f>
        <v>61.145209362200987</v>
      </c>
      <c r="AX22" s="74">
        <f>SIM_BASE!O27</f>
        <v>2281.5608222365445</v>
      </c>
      <c r="AY22" s="98">
        <f t="shared" si="53"/>
        <v>2342.7060315987455</v>
      </c>
      <c r="AZ22" s="72">
        <f>SIM_BASE!V27</f>
        <v>76.011942674554021</v>
      </c>
      <c r="BA22" s="72">
        <f>SIM_BASE!W27</f>
        <v>11.764770098987524</v>
      </c>
      <c r="BB22" s="72">
        <f>SIM_BASE!X27</f>
        <v>5.3307360242745447E-2</v>
      </c>
      <c r="BC22" s="88">
        <f t="shared" si="54"/>
        <v>87.830020133784288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5"/>
        <v>3.0000000000000001E-3</v>
      </c>
      <c r="BI22" s="75">
        <f>SIM_BASE!U27</f>
        <v>-632.86835625587594</v>
      </c>
      <c r="BJ22" s="72">
        <f t="shared" si="17"/>
        <v>-2.0000000000474074E-3</v>
      </c>
      <c r="BK22" s="72">
        <f t="shared" si="18"/>
        <v>-1.9999999999887877E-3</v>
      </c>
      <c r="BL22" s="72">
        <f t="shared" si="19"/>
        <v>-1.9999999999988213E-3</v>
      </c>
      <c r="BM22" s="88">
        <f t="shared" si="56"/>
        <v>-6.0000000000350164E-3</v>
      </c>
      <c r="BN22" s="73">
        <f t="shared" si="21"/>
        <v>-2.0000000000663931E-3</v>
      </c>
      <c r="BO22" s="74">
        <f>SIM_BASE!AB27</f>
        <v>136698.74209447537</v>
      </c>
      <c r="BP22" s="74">
        <f>SIM_BASE!AC27</f>
        <v>106437.51910141608</v>
      </c>
      <c r="BQ22" s="74">
        <f>SIM_BASE!AD27</f>
        <v>95261.310478550542</v>
      </c>
      <c r="BR22" s="95">
        <f t="shared" si="58"/>
        <v>125823.91764273989</v>
      </c>
      <c r="BS22" s="75">
        <f>SIM_BASE!AE27</f>
        <v>8132.8808152698693</v>
      </c>
    </row>
    <row r="23" spans="1:86" x14ac:dyDescent="0.3">
      <c r="A23" s="353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53">
        <v>1</v>
      </c>
      <c r="AL23" s="81">
        <v>2022</v>
      </c>
      <c r="AM23" s="81" t="s">
        <v>0</v>
      </c>
      <c r="AN23" s="167">
        <f>SIM_BASE!E34</f>
        <v>253.56589063170654</v>
      </c>
      <c r="AO23" s="74">
        <f>SIM_BASE!F34</f>
        <v>96.460200762577443</v>
      </c>
      <c r="AP23" s="74">
        <f>SIM_BASE!G34</f>
        <v>10.659276005324932</v>
      </c>
      <c r="AQ23" s="95">
        <f t="shared" si="57"/>
        <v>360.68536739960894</v>
      </c>
      <c r="AR23" s="75">
        <f>SIM_BASE!H34</f>
        <v>1781.7477501604621</v>
      </c>
      <c r="AS23" s="74">
        <f>SIM_BASE!K34</f>
        <v>174.59566770358552</v>
      </c>
      <c r="AT23" s="74">
        <f>SIM_BASE!L34</f>
        <v>83.937357326516647</v>
      </c>
      <c r="AU23" s="74">
        <f>SIM_BASE!M34</f>
        <v>10.563691109925752</v>
      </c>
      <c r="AV23" s="95">
        <f t="shared" si="52"/>
        <v>269.09671614002792</v>
      </c>
      <c r="AW23" s="74">
        <f>SIM_BASE!N34</f>
        <v>61.893050768850642</v>
      </c>
      <c r="AX23" s="74">
        <f>SIM_BASE!O34</f>
        <v>2386.9963476708358</v>
      </c>
      <c r="AY23" s="98">
        <f t="shared" si="53"/>
        <v>2448.8893984396864</v>
      </c>
      <c r="AZ23" s="72">
        <f>SIM_BASE!V34</f>
        <v>78.97122292812098</v>
      </c>
      <c r="BA23" s="72">
        <f>SIM_BASE!W34</f>
        <v>12.523843436060774</v>
      </c>
      <c r="BB23" s="72">
        <f>SIM_BASE!X34</f>
        <v>9.658489539917664E-2</v>
      </c>
      <c r="BC23" s="88">
        <f t="shared" si="54"/>
        <v>91.591651259580928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5"/>
        <v>3.0000000000000001E-3</v>
      </c>
      <c r="BI23" s="75">
        <f>SIM_BASE!U34</f>
        <v>-667.1406482792238</v>
      </c>
      <c r="BJ23" s="72">
        <f t="shared" si="17"/>
        <v>-1.9999999999621423E-3</v>
      </c>
      <c r="BK23" s="72">
        <f t="shared" si="18"/>
        <v>-1.9999999999781295E-3</v>
      </c>
      <c r="BL23" s="72">
        <f t="shared" si="19"/>
        <v>-1.9999999999972809E-3</v>
      </c>
      <c r="BM23" s="88">
        <f t="shared" si="56"/>
        <v>-5.9999999999375527E-3</v>
      </c>
      <c r="BN23" s="73">
        <f t="shared" si="21"/>
        <v>-2.0000000004074536E-3</v>
      </c>
      <c r="BO23" s="74">
        <f>SIM_BASE!AB34</f>
        <v>144365.81745418161</v>
      </c>
      <c r="BP23" s="74">
        <f>SIM_BASE!AC34</f>
        <v>109353.6801803791</v>
      </c>
      <c r="BQ23" s="74">
        <f>SIM_BASE!AD34</f>
        <v>97051.517991848377</v>
      </c>
      <c r="BR23" s="95">
        <f t="shared" si="58"/>
        <v>131587.36377758792</v>
      </c>
      <c r="BS23" s="75">
        <f>SIM_BASE!AE34</f>
        <v>8396.6345563220584</v>
      </c>
    </row>
    <row r="24" spans="1:86" x14ac:dyDescent="0.3">
      <c r="A24" s="353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53">
        <v>1</v>
      </c>
      <c r="AL24" s="81">
        <v>2023</v>
      </c>
      <c r="AM24" s="81" t="s">
        <v>0</v>
      </c>
      <c r="AN24" s="167">
        <f>SIM_BASE!E41</f>
        <v>261.21649759546182</v>
      </c>
      <c r="AO24" s="74">
        <f>SIM_BASE!F41</f>
        <v>102.26019276281269</v>
      </c>
      <c r="AP24" s="74">
        <f>SIM_BASE!G41</f>
        <v>11.50146351635094</v>
      </c>
      <c r="AQ24" s="95">
        <f t="shared" si="57"/>
        <v>374.97815387462543</v>
      </c>
      <c r="AR24" s="75">
        <f>SIM_BASE!H41</f>
        <v>1862.5430528806023</v>
      </c>
      <c r="AS24" s="74">
        <f>SIM_BASE!K41</f>
        <v>179.44894160779648</v>
      </c>
      <c r="AT24" s="74">
        <f>SIM_BASE!L41</f>
        <v>88.801466815142092</v>
      </c>
      <c r="AU24" s="74">
        <f>SIM_BASE!M41</f>
        <v>11.358540456659171</v>
      </c>
      <c r="AV24" s="95">
        <f t="shared" si="52"/>
        <v>279.60894887959773</v>
      </c>
      <c r="AW24" s="74">
        <f>SIM_BASE!N41</f>
        <v>62.583136016971665</v>
      </c>
      <c r="AX24" s="74">
        <f>SIM_BASE!O41</f>
        <v>2495.6181631260779</v>
      </c>
      <c r="AY24" s="98">
        <f t="shared" si="53"/>
        <v>2558.2012991430497</v>
      </c>
      <c r="AZ24" s="72">
        <f>SIM_BASE!V41</f>
        <v>81.76855598766538</v>
      </c>
      <c r="BA24" s="72">
        <f>SIM_BASE!W41</f>
        <v>13.459725947670599</v>
      </c>
      <c r="BB24" s="72">
        <f>SIM_BASE!X41</f>
        <v>0.14392305969176686</v>
      </c>
      <c r="BC24" s="88">
        <f t="shared" si="54"/>
        <v>95.372204995027758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5"/>
        <v>3.0000000000000001E-3</v>
      </c>
      <c r="BI24" s="75">
        <f>SIM_BASE!U41</f>
        <v>-695.65724626244696</v>
      </c>
      <c r="BJ24" s="72">
        <f t="shared" si="17"/>
        <v>-2.0000000000474074E-3</v>
      </c>
      <c r="BK24" s="72">
        <f t="shared" si="18"/>
        <v>-1.9999999999976694E-3</v>
      </c>
      <c r="BL24" s="72">
        <f t="shared" si="19"/>
        <v>-1.9999999999974196E-3</v>
      </c>
      <c r="BM24" s="88">
        <f t="shared" si="56"/>
        <v>-6.0000000000424965E-3</v>
      </c>
      <c r="BN24" s="73">
        <f t="shared" si="21"/>
        <v>-2.00000000018008E-3</v>
      </c>
      <c r="BO24" s="74">
        <f>SIM_BASE!AB41</f>
        <v>152114.77381753188</v>
      </c>
      <c r="BP24" s="74">
        <f>SIM_BASE!AC41</f>
        <v>111510.34258917492</v>
      </c>
      <c r="BQ24" s="74">
        <f>SIM_BASE!AD41</f>
        <v>97933.510096068829</v>
      </c>
      <c r="BR24" s="95">
        <f t="shared" si="58"/>
        <v>137018.14280783024</v>
      </c>
      <c r="BS24" s="75">
        <f>SIM_BASE!AE41</f>
        <v>8655.2644089301339</v>
      </c>
    </row>
    <row r="25" spans="1:86" x14ac:dyDescent="0.3">
      <c r="A25" s="353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53">
        <v>1</v>
      </c>
      <c r="AL25" s="81">
        <v>2024</v>
      </c>
      <c r="AM25" s="81" t="s">
        <v>0</v>
      </c>
      <c r="AN25" s="167">
        <f>SIM_BASE!E48</f>
        <v>268.85463624399762</v>
      </c>
      <c r="AO25" s="74">
        <f>SIM_BASE!F48</f>
        <v>109.01159745343757</v>
      </c>
      <c r="AP25" s="74">
        <f>SIM_BASE!G48</f>
        <v>12.509180041192868</v>
      </c>
      <c r="AQ25" s="95">
        <f t="shared" si="57"/>
        <v>390.37541373862803</v>
      </c>
      <c r="AR25" s="75">
        <f>SIM_BASE!H48</f>
        <v>1955.0257895378872</v>
      </c>
      <c r="AS25" s="74">
        <f>SIM_BASE!K48</f>
        <v>184.58602288997039</v>
      </c>
      <c r="AT25" s="74">
        <f>SIM_BASE!L48</f>
        <v>94.40139135721445</v>
      </c>
      <c r="AU25" s="74">
        <f>SIM_BASE!M48</f>
        <v>12.3130202751013</v>
      </c>
      <c r="AV25" s="95">
        <f t="shared" si="52"/>
        <v>291.30043452228614</v>
      </c>
      <c r="AW25" s="74">
        <f>SIM_BASE!N48</f>
        <v>62.968823218506188</v>
      </c>
      <c r="AX25" s="74">
        <f>SIM_BASE!O48</f>
        <v>2605.4469765520425</v>
      </c>
      <c r="AY25" s="98">
        <f t="shared" si="53"/>
        <v>2668.4157997705488</v>
      </c>
      <c r="AZ25" s="72">
        <f>SIM_BASE!V48</f>
        <v>84.269613354027214</v>
      </c>
      <c r="BA25" s="72">
        <f>SIM_BASE!W48</f>
        <v>14.611206096223109</v>
      </c>
      <c r="BB25" s="72">
        <f>SIM_BASE!X48</f>
        <v>0.19715976609156807</v>
      </c>
      <c r="BC25" s="88">
        <f t="shared" si="54"/>
        <v>99.077979216341902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5"/>
        <v>3.0000000000000001E-3</v>
      </c>
      <c r="BI25" s="75">
        <f>SIM_BASE!U48</f>
        <v>-713.38901023266135</v>
      </c>
      <c r="BJ25" s="72">
        <f t="shared" si="17"/>
        <v>-1.999999999990564E-3</v>
      </c>
      <c r="BK25" s="72">
        <f t="shared" si="18"/>
        <v>-1.9999999999852349E-3</v>
      </c>
      <c r="BL25" s="72">
        <f t="shared" si="19"/>
        <v>-1.9999999999994736E-3</v>
      </c>
      <c r="BM25" s="88">
        <f t="shared" si="56"/>
        <v>-5.9999999999752725E-3</v>
      </c>
      <c r="BN25" s="73">
        <f t="shared" si="21"/>
        <v>-2.00000000018008E-3</v>
      </c>
      <c r="BO25" s="74">
        <f>SIM_BASE!AB48</f>
        <v>159849.92734572163</v>
      </c>
      <c r="BP25" s="74">
        <f>SIM_BASE!AC48</f>
        <v>112860.13234165567</v>
      </c>
      <c r="BQ25" s="74">
        <f>SIM_BASE!AD48</f>
        <v>97877.901700281451</v>
      </c>
      <c r="BR25" s="95">
        <f t="shared" si="58"/>
        <v>142002.49486673658</v>
      </c>
      <c r="BS25" s="75">
        <f>SIM_BASE!AE48</f>
        <v>8923.7882585730276</v>
      </c>
    </row>
    <row r="26" spans="1:86" x14ac:dyDescent="0.3">
      <c r="A26" s="353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53">
        <v>1</v>
      </c>
      <c r="AL26" s="81">
        <v>2025</v>
      </c>
      <c r="AM26" s="81" t="s">
        <v>0</v>
      </c>
      <c r="AN26" s="167">
        <f>SIM_BASE!E55</f>
        <v>276.53990792409718</v>
      </c>
      <c r="AO26" s="74">
        <f>SIM_BASE!F55</f>
        <v>116.80012540334199</v>
      </c>
      <c r="AP26" s="74">
        <f>SIM_BASE!G55</f>
        <v>13.713004895194201</v>
      </c>
      <c r="AQ26" s="95">
        <f t="shared" si="57"/>
        <v>407.0530382226334</v>
      </c>
      <c r="AR26" s="75">
        <f>SIM_BASE!H55</f>
        <v>2060.608807816292</v>
      </c>
      <c r="AS26" s="74">
        <f>SIM_BASE!K55</f>
        <v>189.96776281661661</v>
      </c>
      <c r="AT26" s="74">
        <f>SIM_BASE!L55</f>
        <v>100.89658594939345</v>
      </c>
      <c r="AU26" s="74">
        <f>SIM_BASE!M55</f>
        <v>13.45855618831064</v>
      </c>
      <c r="AV26" s="95">
        <f t="shared" si="52"/>
        <v>304.32290495432068</v>
      </c>
      <c r="AW26" s="74">
        <f>SIM_BASE!N55</f>
        <v>63.047687660462515</v>
      </c>
      <c r="AX26" s="74">
        <f>SIM_BASE!O55</f>
        <v>2717.3774290275323</v>
      </c>
      <c r="AY26" s="98">
        <f t="shared" si="53"/>
        <v>2780.4251166879949</v>
      </c>
      <c r="AZ26" s="72">
        <f>SIM_BASE!V55</f>
        <v>86.573145107480556</v>
      </c>
      <c r="BA26" s="72">
        <f>SIM_BASE!W55</f>
        <v>15.904539453948557</v>
      </c>
      <c r="BB26" s="72">
        <f>SIM_BASE!X55</f>
        <v>0.25544870688355925</v>
      </c>
      <c r="BC26" s="88">
        <f t="shared" si="54"/>
        <v>102.73313326831267</v>
      </c>
      <c r="BD26" s="73">
        <f>SIM_BASE!Y55</f>
        <v>1E-3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5"/>
        <v>3.0000000000000001E-3</v>
      </c>
      <c r="BI26" s="75">
        <f>SIM_BASE!U55</f>
        <v>-719.8153088717022</v>
      </c>
      <c r="BJ26" s="72">
        <f t="shared" si="17"/>
        <v>-1.999999999990564E-3</v>
      </c>
      <c r="BK26" s="72">
        <f t="shared" si="18"/>
        <v>-2.0000000000172094E-3</v>
      </c>
      <c r="BL26" s="72">
        <f t="shared" si="19"/>
        <v>-1.9999999999977805E-3</v>
      </c>
      <c r="BM26" s="88">
        <f t="shared" si="56"/>
        <v>-6.0000000000055538E-3</v>
      </c>
      <c r="BN26" s="73">
        <f t="shared" si="21"/>
        <v>-2.0000000006348273E-3</v>
      </c>
      <c r="BO26" s="74">
        <f>SIM_BASE!AB55</f>
        <v>167598.53683677586</v>
      </c>
      <c r="BP26" s="74">
        <f>SIM_BASE!AC55</f>
        <v>113319.33871763831</v>
      </c>
      <c r="BQ26" s="74">
        <f>SIM_BASE!AD55</f>
        <v>96902.87159835163</v>
      </c>
      <c r="BR26" s="95">
        <f t="shared" si="58"/>
        <v>146476.08020756519</v>
      </c>
      <c r="BS26" s="75">
        <f>SIM_BASE!AE55</f>
        <v>9202.5940430052397</v>
      </c>
    </row>
    <row r="27" spans="1:86" x14ac:dyDescent="0.3">
      <c r="A27" s="353">
        <v>1</v>
      </c>
      <c r="B27" s="81">
        <v>2026</v>
      </c>
      <c r="C27" s="84" t="s">
        <v>0</v>
      </c>
      <c r="D27" s="167">
        <v>263.91745408168566</v>
      </c>
      <c r="E27" s="74">
        <v>123.01027405379361</v>
      </c>
      <c r="F27" s="74">
        <v>15.084554424612335</v>
      </c>
      <c r="G27" s="95">
        <v>402.01228256009159</v>
      </c>
      <c r="H27" s="75">
        <v>2142.8414907698034</v>
      </c>
      <c r="I27" s="74">
        <v>239.84065332427346</v>
      </c>
      <c r="J27" s="74">
        <v>119.10343348948254</v>
      </c>
      <c r="K27" s="74">
        <v>14.770124942511213</v>
      </c>
      <c r="L27" s="95">
        <v>373.71421175626722</v>
      </c>
      <c r="M27" s="74">
        <v>45.488217523620975</v>
      </c>
      <c r="N27" s="74">
        <v>2478.0657966037684</v>
      </c>
      <c r="O27" s="98">
        <v>2523.5540141273896</v>
      </c>
      <c r="P27" s="72">
        <v>24.077800757412195</v>
      </c>
      <c r="Q27" s="72">
        <v>3.9078405643110643</v>
      </c>
      <c r="R27" s="72">
        <v>0.31542948210112381</v>
      </c>
      <c r="S27" s="88">
        <v>28.301070803824384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-380.71152335758637</v>
      </c>
      <c r="Z27" s="72">
        <v>-1.9999999999941167E-3</v>
      </c>
      <c r="AA27" s="72">
        <v>-1.9999999999963372E-3</v>
      </c>
      <c r="AB27" s="72">
        <v>-2.0000000000016107E-3</v>
      </c>
      <c r="AC27" s="88">
        <v>-5.9999999999920646E-3</v>
      </c>
      <c r="AD27" s="73">
        <v>-1.999999999782176E-3</v>
      </c>
      <c r="AE27" s="74">
        <v>129720.30761686928</v>
      </c>
      <c r="AF27" s="74">
        <v>96683.467999435321</v>
      </c>
      <c r="AG27" s="74">
        <v>91544.595219978597</v>
      </c>
      <c r="AH27" s="95">
        <v>117682.60358948489</v>
      </c>
      <c r="AI27" s="75">
        <v>9480.2130462343193</v>
      </c>
      <c r="AK27" s="353">
        <v>1</v>
      </c>
      <c r="AL27" s="81">
        <v>2026</v>
      </c>
      <c r="AM27" s="81" t="s">
        <v>0</v>
      </c>
      <c r="AN27" s="167">
        <f>SIM_BASE!E62</f>
        <v>266.42622570131584</v>
      </c>
      <c r="AO27" s="74">
        <f>SIM_BASE!F62</f>
        <v>125.82859597876384</v>
      </c>
      <c r="AP27" s="74">
        <f>SIM_BASE!G62</f>
        <v>15.166452327515477</v>
      </c>
      <c r="AQ27" s="95">
        <f t="shared" si="57"/>
        <v>407.42127400759512</v>
      </c>
      <c r="AR27" s="75">
        <f>SIM_BASE!H62</f>
        <v>2186.0196293600266</v>
      </c>
      <c r="AS27" s="74">
        <f>SIM_BASE!K62</f>
        <v>183.10179760102491</v>
      </c>
      <c r="AT27" s="74">
        <f>SIM_BASE!L62</f>
        <v>108.5136347344848</v>
      </c>
      <c r="AU27" s="74">
        <f>SIM_BASE!M62</f>
        <v>14.846560768049619</v>
      </c>
      <c r="AV27" s="95">
        <f t="shared" si="52"/>
        <v>306.46199310355934</v>
      </c>
      <c r="AW27" s="74">
        <f>SIM_BASE!N62</f>
        <v>67.624247466386549</v>
      </c>
      <c r="AX27" s="74">
        <f>SIM_BASE!O62</f>
        <v>2772.4247702778011</v>
      </c>
      <c r="AY27" s="98">
        <f t="shared" si="53"/>
        <v>2840.0490177441875</v>
      </c>
      <c r="AZ27" s="72">
        <f>SIM_BASE!V62</f>
        <v>83.325428100290907</v>
      </c>
      <c r="BA27" s="72">
        <f>SIM_BASE!W62</f>
        <v>17.31596124427907</v>
      </c>
      <c r="BB27" s="72">
        <f>SIM_BASE!X62</f>
        <v>0.32089155946585707</v>
      </c>
      <c r="BC27" s="88">
        <f t="shared" si="54"/>
        <v>100.96228090403584</v>
      </c>
      <c r="BD27" s="73">
        <f>SIM_BASE!Y62</f>
        <v>1E-3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5"/>
        <v>3.0000000000000001E-3</v>
      </c>
      <c r="BI27" s="75">
        <f>SIM_BASE!U62</f>
        <v>-654.02838838416073</v>
      </c>
      <c r="BJ27" s="72">
        <f t="shared" si="17"/>
        <v>-1.9999999999763532E-3</v>
      </c>
      <c r="BK27" s="72">
        <f t="shared" si="18"/>
        <v>-2.0000000000225384E-3</v>
      </c>
      <c r="BL27" s="72">
        <f t="shared" si="19"/>
        <v>-1.9999999999983911E-3</v>
      </c>
      <c r="BM27" s="88">
        <f t="shared" si="56"/>
        <v>-5.9999999999972827E-3</v>
      </c>
      <c r="BN27" s="73">
        <f t="shared" si="21"/>
        <v>-2.00000000018008E-3</v>
      </c>
      <c r="BO27" s="74">
        <f>SIM_BASE!AB62</f>
        <v>192375.15563321652</v>
      </c>
      <c r="BP27" s="74">
        <f>SIM_BASE!AC62</f>
        <v>113803.88200286572</v>
      </c>
      <c r="BQ27" s="74">
        <f>SIM_BASE!AD62</f>
        <v>95785.840403175025</v>
      </c>
      <c r="BR27" s="95">
        <f t="shared" si="58"/>
        <v>159874.96360422138</v>
      </c>
      <c r="BS27" s="75">
        <f>SIM_BASE!AE62</f>
        <v>9480.1478406005208</v>
      </c>
    </row>
    <row r="28" spans="1:86" x14ac:dyDescent="0.3">
      <c r="A28" s="353">
        <v>1</v>
      </c>
      <c r="B28" s="81">
        <v>2027</v>
      </c>
      <c r="C28" s="84" t="s">
        <v>0</v>
      </c>
      <c r="D28" s="167">
        <v>252.15991490122741</v>
      </c>
      <c r="E28" s="74">
        <v>133.26967802611574</v>
      </c>
      <c r="F28" s="74">
        <v>16.8185916726414</v>
      </c>
      <c r="G28" s="95">
        <v>402.24818459998454</v>
      </c>
      <c r="H28" s="75">
        <v>2284.0808946685793</v>
      </c>
      <c r="I28" s="74">
        <v>229.45019101258046</v>
      </c>
      <c r="J28" s="74">
        <v>128.71660515843149</v>
      </c>
      <c r="K28" s="74">
        <v>16.427497315317815</v>
      </c>
      <c r="L28" s="95">
        <v>374.59429348632972</v>
      </c>
      <c r="M28" s="74">
        <v>47.90340975122686</v>
      </c>
      <c r="N28" s="74">
        <v>2529.4976824390997</v>
      </c>
      <c r="O28" s="98">
        <v>2577.4010921903264</v>
      </c>
      <c r="P28" s="72">
        <v>22.710723888646964</v>
      </c>
      <c r="Q28" s="72">
        <v>4.5540728676842699</v>
      </c>
      <c r="R28" s="72">
        <v>0.39209435732358394</v>
      </c>
      <c r="S28" s="88">
        <v>27.656891113654815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-293.31919752174753</v>
      </c>
      <c r="Z28" s="72">
        <v>-2.000000000015433E-3</v>
      </c>
      <c r="AA28" s="72">
        <v>-2.0000000000198739E-3</v>
      </c>
      <c r="AB28" s="72">
        <v>-1.9999999999991682E-3</v>
      </c>
      <c r="AC28" s="88">
        <v>-6.0000000000344752E-3</v>
      </c>
      <c r="AD28" s="73">
        <v>-1.9999999995548023E-3</v>
      </c>
      <c r="AE28" s="74">
        <v>150312.04026115662</v>
      </c>
      <c r="AF28" s="74">
        <v>96506.669007245451</v>
      </c>
      <c r="AG28" s="74">
        <v>89734.013614389201</v>
      </c>
      <c r="AH28" s="95">
        <v>129167.05691535835</v>
      </c>
      <c r="AI28" s="75">
        <v>9767.9324104248426</v>
      </c>
      <c r="AK28" s="353">
        <v>1</v>
      </c>
      <c r="AL28" s="81">
        <v>2027</v>
      </c>
      <c r="AM28" s="81" t="s">
        <v>0</v>
      </c>
      <c r="AN28" s="167">
        <f>SIM_BASE!E69</f>
        <v>254.52910917905794</v>
      </c>
      <c r="AO28" s="74">
        <f>SIM_BASE!F69</f>
        <v>136.32163144129024</v>
      </c>
      <c r="AP28" s="74">
        <f>SIM_BASE!G69</f>
        <v>16.909054031402839</v>
      </c>
      <c r="AQ28" s="95">
        <f t="shared" si="57"/>
        <v>407.75979465175101</v>
      </c>
      <c r="AR28" s="75">
        <f>SIM_BASE!H69</f>
        <v>2329.5567250648082</v>
      </c>
      <c r="AS28" s="74">
        <f>SIM_BASE!K69</f>
        <v>175.00947772348923</v>
      </c>
      <c r="AT28" s="74">
        <f>SIM_BASE!L69</f>
        <v>117.28161838931933</v>
      </c>
      <c r="AU28" s="74">
        <f>SIM_BASE!M69</f>
        <v>16.515746473446512</v>
      </c>
      <c r="AV28" s="95">
        <f t="shared" si="52"/>
        <v>308.80684258625502</v>
      </c>
      <c r="AW28" s="74">
        <f>SIM_BASE!N69</f>
        <v>73.190653439409985</v>
      </c>
      <c r="AX28" s="74">
        <f>SIM_BASE!O69</f>
        <v>2829.1003095826313</v>
      </c>
      <c r="AY28" s="98">
        <f t="shared" si="53"/>
        <v>2902.2909630220415</v>
      </c>
      <c r="AZ28" s="72">
        <f>SIM_BASE!V69</f>
        <v>79.520631455568704</v>
      </c>
      <c r="BA28" s="72">
        <f>SIM_BASE!W69</f>
        <v>19.041013051970911</v>
      </c>
      <c r="BB28" s="72">
        <f>SIM_BASE!X69</f>
        <v>0.39430755795632516</v>
      </c>
      <c r="BC28" s="88">
        <f t="shared" si="54"/>
        <v>98.955952065495936</v>
      </c>
      <c r="BD28" s="73">
        <f>SIM_BASE!Y69</f>
        <v>1E-3</v>
      </c>
      <c r="BE28" s="72">
        <f>SIM_BASE!R69</f>
        <v>1E-3</v>
      </c>
      <c r="BF28" s="72">
        <f>SIM_BASE!S69</f>
        <v>1E-3</v>
      </c>
      <c r="BG28" s="72">
        <f>SIM_BASE!T69</f>
        <v>1E-3</v>
      </c>
      <c r="BH28" s="88">
        <f t="shared" si="55"/>
        <v>3.0000000000000001E-3</v>
      </c>
      <c r="BI28" s="75">
        <f>SIM_BASE!U69</f>
        <v>-572.7332379572332</v>
      </c>
      <c r="BJ28" s="72">
        <f t="shared" si="17"/>
        <v>-1.999999999990564E-3</v>
      </c>
      <c r="BK28" s="72">
        <f t="shared" si="18"/>
        <v>-2.0000000000083276E-3</v>
      </c>
      <c r="BL28" s="72">
        <f t="shared" si="19"/>
        <v>-1.9999999999986131E-3</v>
      </c>
      <c r="BM28" s="88">
        <f t="shared" si="56"/>
        <v>-5.9999999999975047E-3</v>
      </c>
      <c r="BN28" s="73">
        <f t="shared" si="21"/>
        <v>-2.0000000000663931E-3</v>
      </c>
      <c r="BO28" s="74">
        <f>SIM_BASE!AB69</f>
        <v>223082.59434523433</v>
      </c>
      <c r="BP28" s="74">
        <f>SIM_BASE!AC69</f>
        <v>113576.25803753268</v>
      </c>
      <c r="BQ28" s="74">
        <f>SIM_BASE!AD69</f>
        <v>93880.023735706913</v>
      </c>
      <c r="BR28" s="95">
        <f t="shared" si="58"/>
        <v>174583.15981028383</v>
      </c>
      <c r="BS28" s="75">
        <f>SIM_BASE!AE69</f>
        <v>9767.8667457524607</v>
      </c>
    </row>
    <row r="29" spans="1:86" x14ac:dyDescent="0.3">
      <c r="A29" s="353">
        <v>1</v>
      </c>
      <c r="B29" s="81">
        <v>2028</v>
      </c>
      <c r="C29" s="84" t="s">
        <v>0</v>
      </c>
      <c r="D29" s="167">
        <v>239.30175225261152</v>
      </c>
      <c r="E29" s="74">
        <v>145.3382525576379</v>
      </c>
      <c r="F29" s="74">
        <v>19.216582083762532</v>
      </c>
      <c r="G29" s="95">
        <v>403.85658689401197</v>
      </c>
      <c r="H29" s="75">
        <v>2381.115424961833</v>
      </c>
      <c r="I29" s="74">
        <v>218.10152903725026</v>
      </c>
      <c r="J29" s="74">
        <v>139.92386662138347</v>
      </c>
      <c r="K29" s="74">
        <v>18.111600078763573</v>
      </c>
      <c r="L29" s="95">
        <v>376.13699573739729</v>
      </c>
      <c r="M29" s="74">
        <v>53.360208326005761</v>
      </c>
      <c r="N29" s="74">
        <v>2638.3625102111023</v>
      </c>
      <c r="O29" s="98">
        <v>2691.722718537108</v>
      </c>
      <c r="P29" s="72">
        <v>21.201223215361242</v>
      </c>
      <c r="Q29" s="72">
        <v>5.4153859362544123</v>
      </c>
      <c r="R29" s="72">
        <v>1.1059820049989522</v>
      </c>
      <c r="S29" s="88">
        <v>27.722591156614609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-310.60629357527546</v>
      </c>
      <c r="Z29" s="72">
        <v>-1.9999999999799059E-3</v>
      </c>
      <c r="AA29" s="72">
        <v>-1.9999999999790177E-3</v>
      </c>
      <c r="AB29" s="72">
        <v>-1.9999999999930065E-3</v>
      </c>
      <c r="AC29" s="88">
        <v>-5.9999999999519301E-3</v>
      </c>
      <c r="AD29" s="73">
        <v>-1.9999999994979589E-3</v>
      </c>
      <c r="AE29" s="74">
        <v>176148.41914128652</v>
      </c>
      <c r="AF29" s="74">
        <v>95876.683405377262</v>
      </c>
      <c r="AG29" s="74">
        <v>89074.838235216652</v>
      </c>
      <c r="AH29" s="95">
        <v>142094.40779825559</v>
      </c>
      <c r="AI29" s="75">
        <v>9708.1599744334344</v>
      </c>
      <c r="AK29" s="353">
        <v>1</v>
      </c>
      <c r="AL29" s="81">
        <v>2028</v>
      </c>
      <c r="AM29" s="81" t="s">
        <v>0</v>
      </c>
      <c r="AN29" s="167">
        <f>SIM_BASE!E76</f>
        <v>240.96551740942448</v>
      </c>
      <c r="AO29" s="74">
        <f>SIM_BASE!F76</f>
        <v>148.47896345509795</v>
      </c>
      <c r="AP29" s="74">
        <f>SIM_BASE!G76</f>
        <v>19.00275527643921</v>
      </c>
      <c r="AQ29" s="95">
        <f t="shared" si="57"/>
        <v>408.44723614096165</v>
      </c>
      <c r="AR29" s="75">
        <f>SIM_BASE!H76</f>
        <v>2493.7679427808025</v>
      </c>
      <c r="AS29" s="74">
        <f>SIM_BASE!K76</f>
        <v>166.0073356703798</v>
      </c>
      <c r="AT29" s="74">
        <f>SIM_BASE!L76</f>
        <v>127.42941746632843</v>
      </c>
      <c r="AU29" s="74">
        <f>SIM_BASE!M76</f>
        <v>18.528693150854046</v>
      </c>
      <c r="AV29" s="95">
        <f t="shared" si="52"/>
        <v>311.96544628756232</v>
      </c>
      <c r="AW29" s="74">
        <f>SIM_BASE!N76</f>
        <v>79.914925783393613</v>
      </c>
      <c r="AX29" s="74">
        <f>SIM_BASE!O76</f>
        <v>2890.2616877205401</v>
      </c>
      <c r="AY29" s="98">
        <f t="shared" si="53"/>
        <v>2970.1766135039338</v>
      </c>
      <c r="AZ29" s="72">
        <f>SIM_BASE!V76</f>
        <v>74.959181739044666</v>
      </c>
      <c r="BA29" s="72">
        <f>SIM_BASE!W76</f>
        <v>21.050545988769521</v>
      </c>
      <c r="BB29" s="72">
        <f>SIM_BASE!X76</f>
        <v>0.47506212558515853</v>
      </c>
      <c r="BC29" s="88">
        <f t="shared" si="54"/>
        <v>96.484789853399334</v>
      </c>
      <c r="BD29" s="73">
        <f>SIM_BASE!Y76</f>
        <v>1E-3</v>
      </c>
      <c r="BE29" s="72">
        <f>SIM_BASE!R76</f>
        <v>1E-3</v>
      </c>
      <c r="BF29" s="72">
        <f>SIM_BASE!S76</f>
        <v>1E-3</v>
      </c>
      <c r="BG29" s="72">
        <f>SIM_BASE!T76</f>
        <v>1E-3</v>
      </c>
      <c r="BH29" s="88">
        <f t="shared" si="55"/>
        <v>3.0000000000000001E-3</v>
      </c>
      <c r="BI29" s="75">
        <f>SIM_BASE!U76</f>
        <v>-476.40767072313139</v>
      </c>
      <c r="BJ29" s="72">
        <f t="shared" si="17"/>
        <v>-1.999999999990564E-3</v>
      </c>
      <c r="BK29" s="72">
        <f t="shared" si="18"/>
        <v>-1.9999999999976694E-3</v>
      </c>
      <c r="BL29" s="72">
        <f t="shared" si="19"/>
        <v>-1.9999999999949494E-3</v>
      </c>
      <c r="BM29" s="88">
        <f t="shared" si="56"/>
        <v>-5.9999999999831828E-3</v>
      </c>
      <c r="BN29" s="73">
        <f t="shared" si="21"/>
        <v>-1.9999999998958629E-3</v>
      </c>
      <c r="BO29" s="74">
        <f>SIM_BASE!AB76</f>
        <v>261084.74240266421</v>
      </c>
      <c r="BP29" s="74">
        <f>SIM_BASE!AC76</f>
        <v>112596.11376353112</v>
      </c>
      <c r="BQ29" s="74">
        <f>SIM_BASE!AD76</f>
        <v>91235.302727836184</v>
      </c>
      <c r="BR29" s="95">
        <f t="shared" si="58"/>
        <v>190343.22964841034</v>
      </c>
      <c r="BS29" s="75">
        <f>SIM_BASE!AE76</f>
        <v>10066.131889799175</v>
      </c>
    </row>
    <row r="30" spans="1:86" x14ac:dyDescent="0.3">
      <c r="A30" s="503">
        <v>1</v>
      </c>
      <c r="B30" s="81">
        <v>2029</v>
      </c>
      <c r="C30" s="84" t="s">
        <v>0</v>
      </c>
      <c r="D30" s="167">
        <v>224.73213376853155</v>
      </c>
      <c r="E30" s="74">
        <v>159.21835008899609</v>
      </c>
      <c r="F30" s="74">
        <v>22.364710125758855</v>
      </c>
      <c r="G30" s="95">
        <v>406.31519398328646</v>
      </c>
      <c r="H30" s="75">
        <v>2559.8160914907539</v>
      </c>
      <c r="I30" s="74">
        <v>205.34136751499318</v>
      </c>
      <c r="J30" s="74">
        <v>152.83127719446745</v>
      </c>
      <c r="K30" s="74">
        <v>19.916692178977438</v>
      </c>
      <c r="L30" s="95">
        <v>378.08933688843808</v>
      </c>
      <c r="M30" s="74">
        <v>58.656764289761682</v>
      </c>
      <c r="N30" s="74">
        <v>2723.8326288962621</v>
      </c>
      <c r="O30" s="98">
        <v>2782.4893931860238</v>
      </c>
      <c r="P30" s="72">
        <v>19.391766253538396</v>
      </c>
      <c r="Q30" s="72">
        <v>6.3880728945286567</v>
      </c>
      <c r="R30" s="72">
        <v>2.4490179467814133</v>
      </c>
      <c r="S30" s="88">
        <v>28.228857094848468</v>
      </c>
      <c r="T30" s="73">
        <v>148.64365102686193</v>
      </c>
      <c r="U30" s="72">
        <v>1E-3</v>
      </c>
      <c r="V30" s="72">
        <v>1E-3</v>
      </c>
      <c r="W30" s="72">
        <v>1E-3</v>
      </c>
      <c r="X30" s="88">
        <v>3.0000000000000001E-3</v>
      </c>
      <c r="Y30" s="75">
        <v>-371.31495272213186</v>
      </c>
      <c r="Z30" s="72">
        <v>-2.0000000000225384E-3</v>
      </c>
      <c r="AA30" s="72">
        <v>-2.0000000000136567E-3</v>
      </c>
      <c r="AB30" s="72">
        <v>-1.9999999999972254E-3</v>
      </c>
      <c r="AC30" s="88">
        <v>-6.0000000000334204E-3</v>
      </c>
      <c r="AD30" s="73">
        <v>-1.9999999998958629E-3</v>
      </c>
      <c r="AE30" s="74">
        <v>208534.42983536993</v>
      </c>
      <c r="AF30" s="74">
        <v>94710.318558551924</v>
      </c>
      <c r="AG30" s="74">
        <v>88856.346357990376</v>
      </c>
      <c r="AH30" s="95">
        <v>156220.13815518297</v>
      </c>
      <c r="AI30" s="75">
        <v>10028.06204223675</v>
      </c>
      <c r="AK30" s="503">
        <v>1</v>
      </c>
      <c r="AL30" s="81">
        <v>2029</v>
      </c>
      <c r="AM30" s="81" t="s">
        <v>0</v>
      </c>
      <c r="AN30" s="167">
        <f>SIM_BASE!E83</f>
        <v>226.4954145645961</v>
      </c>
      <c r="AO30" s="74">
        <f>SIM_BASE!F83</f>
        <v>162.79517286078692</v>
      </c>
      <c r="AP30" s="74">
        <f>SIM_BASE!G83</f>
        <v>21.819566164576646</v>
      </c>
      <c r="AQ30" s="95">
        <f t="shared" si="57"/>
        <v>411.11015358995968</v>
      </c>
      <c r="AR30" s="75">
        <f>SIM_BASE!H83</f>
        <v>2605.188264448514</v>
      </c>
      <c r="AS30" s="74">
        <f>SIM_BASE!K83</f>
        <v>156.58087752335172</v>
      </c>
      <c r="AT30" s="74">
        <f>SIM_BASE!L83</f>
        <v>139.2733223676357</v>
      </c>
      <c r="AU30" s="74">
        <f>SIM_BASE!M83</f>
        <v>20.670387468741545</v>
      </c>
      <c r="AV30" s="95">
        <f t="shared" si="52"/>
        <v>316.52458735972891</v>
      </c>
      <c r="AW30" s="74">
        <f>SIM_BASE!N83</f>
        <v>91.315311342814113</v>
      </c>
      <c r="AX30" s="74">
        <f>SIM_BASE!O83</f>
        <v>3020.1675467010818</v>
      </c>
      <c r="AY30" s="98">
        <f t="shared" si="53"/>
        <v>3111.4828580438962</v>
      </c>
      <c r="AZ30" s="72">
        <f>SIM_BASE!V83</f>
        <v>69.915537041244406</v>
      </c>
      <c r="BA30" s="72">
        <f>SIM_BASE!W83</f>
        <v>23.522850493151186</v>
      </c>
      <c r="BB30" s="72">
        <f>SIM_BASE!X83</f>
        <v>1.1501786958351017</v>
      </c>
      <c r="BC30" s="88">
        <f t="shared" si="54"/>
        <v>94.588566230230683</v>
      </c>
      <c r="BD30" s="73">
        <f>SIM_BASE!Y83</f>
        <v>6.9218389570598937</v>
      </c>
      <c r="BE30" s="72">
        <f>SIM_BASE!R83</f>
        <v>1E-3</v>
      </c>
      <c r="BF30" s="72">
        <f>SIM_BASE!S83</f>
        <v>1E-3</v>
      </c>
      <c r="BG30" s="72">
        <f>SIM_BASE!T83</f>
        <v>1E-3</v>
      </c>
      <c r="BH30" s="88">
        <f t="shared" si="55"/>
        <v>3.0000000000000001E-3</v>
      </c>
      <c r="BI30" s="75">
        <f>SIM_BASE!U83</f>
        <v>-513.21443255244139</v>
      </c>
      <c r="BJ30" s="72">
        <f t="shared" si="17"/>
        <v>-2.0000000000189857E-3</v>
      </c>
      <c r="BK30" s="72">
        <f t="shared" si="18"/>
        <v>-1.999999999965695E-3</v>
      </c>
      <c r="BL30" s="72">
        <f t="shared" si="19"/>
        <v>-2.0000000000010001E-3</v>
      </c>
      <c r="BM30" s="88">
        <f t="shared" si="56"/>
        <v>-5.9999999999856808E-3</v>
      </c>
      <c r="BN30" s="73">
        <f t="shared" si="21"/>
        <v>-2.0000000006348273E-3</v>
      </c>
      <c r="BO30" s="74">
        <f>SIM_BASE!AB83</f>
        <v>308635.91216823703</v>
      </c>
      <c r="BP30" s="74">
        <f>SIM_BASE!AC83</f>
        <v>111054.87141041819</v>
      </c>
      <c r="BQ30" s="74">
        <f>SIM_BASE!AD83</f>
        <v>89447.726066200979</v>
      </c>
      <c r="BR30" s="95">
        <f t="shared" si="58"/>
        <v>207384.78034992615</v>
      </c>
      <c r="BS30" s="75">
        <f>SIM_BASE!AE83</f>
        <v>10116.233563662747</v>
      </c>
    </row>
    <row r="31" spans="1:86" ht="16.2" thickBot="1" x14ac:dyDescent="0.35">
      <c r="A31" s="387">
        <v>1</v>
      </c>
      <c r="B31" s="82">
        <v>2030</v>
      </c>
      <c r="C31" s="377" t="s">
        <v>0</v>
      </c>
      <c r="D31" s="169">
        <v>209.13210225133633</v>
      </c>
      <c r="E31" s="78">
        <v>175.38728321488497</v>
      </c>
      <c r="F31" s="78">
        <v>26.193554857062335</v>
      </c>
      <c r="G31" s="96">
        <v>410.71294032328365</v>
      </c>
      <c r="H31" s="79">
        <v>2773.4602227426735</v>
      </c>
      <c r="I31" s="78">
        <v>191.79589083068399</v>
      </c>
      <c r="J31" s="78">
        <v>167.7488363891876</v>
      </c>
      <c r="K31" s="78">
        <v>22.12688057069024</v>
      </c>
      <c r="L31" s="96">
        <v>381.67160779056178</v>
      </c>
      <c r="M31" s="78">
        <v>65.027530504624806</v>
      </c>
      <c r="N31" s="78">
        <v>2824.0585027359125</v>
      </c>
      <c r="O31" s="99">
        <v>2889.0860332405373</v>
      </c>
      <c r="P31" s="76">
        <v>17.337211420652384</v>
      </c>
      <c r="Q31" s="76">
        <v>7.6394468256973198</v>
      </c>
      <c r="R31" s="76">
        <v>1E-3</v>
      </c>
      <c r="S31" s="89">
        <v>24.977658246349705</v>
      </c>
      <c r="T31" s="77">
        <v>329.15092455844353</v>
      </c>
      <c r="U31" s="76">
        <v>1E-3</v>
      </c>
      <c r="V31" s="76">
        <v>1E-3</v>
      </c>
      <c r="W31" s="76">
        <v>4.0676742863720916</v>
      </c>
      <c r="X31" s="89">
        <v>4.0696742863720914</v>
      </c>
      <c r="Y31" s="79">
        <v>-444.77473505630695</v>
      </c>
      <c r="Z31" s="72">
        <v>-2.0000000000367493E-3</v>
      </c>
      <c r="AA31" s="72">
        <v>-1.9999999999479314E-3</v>
      </c>
      <c r="AB31" s="72">
        <v>-1.9999999999971152E-3</v>
      </c>
      <c r="AC31" s="88">
        <v>-5.9999999999817959E-3</v>
      </c>
      <c r="AD31" s="73">
        <v>-2.0000000003506102E-3</v>
      </c>
      <c r="AE31" s="78">
        <v>249423.35320993373</v>
      </c>
      <c r="AF31" s="78">
        <v>92987.438150519243</v>
      </c>
      <c r="AG31" s="78">
        <v>87704.773375962017</v>
      </c>
      <c r="AH31" s="96">
        <v>171292.65180574116</v>
      </c>
      <c r="AI31" s="79">
        <v>10394.667969564422</v>
      </c>
      <c r="AK31" s="387">
        <v>1</v>
      </c>
      <c r="AL31" s="82">
        <v>2030</v>
      </c>
      <c r="AM31" s="82" t="s">
        <v>0</v>
      </c>
      <c r="AN31" s="169">
        <f>SIM_BASE!E90</f>
        <v>210.59395180618597</v>
      </c>
      <c r="AO31" s="78">
        <f>SIM_BASE!F90</f>
        <v>179.31758802700617</v>
      </c>
      <c r="AP31" s="78">
        <f>SIM_BASE!G90</f>
        <v>25.701818461149372</v>
      </c>
      <c r="AQ31" s="96">
        <f>SUM(AN31:AP31)</f>
        <v>415.61335829434154</v>
      </c>
      <c r="AR31" s="79">
        <f>SIM_BASE!H90</f>
        <v>2823.7704666124127</v>
      </c>
      <c r="AS31" s="74">
        <f>SIM_BASE!K90</f>
        <v>146.30874719285811</v>
      </c>
      <c r="AT31" s="74">
        <f>SIM_BASE!L90</f>
        <v>152.91836696385613</v>
      </c>
      <c r="AU31" s="74">
        <f>SIM_BASE!M90</f>
        <v>22.827633194389964</v>
      </c>
      <c r="AV31" s="95">
        <f t="shared" ref="AV31" si="59">SUM(AS31:AU31)</f>
        <v>322.05474735110425</v>
      </c>
      <c r="AW31" s="74">
        <f>SIM_BASE!N90</f>
        <v>104.57931845754607</v>
      </c>
      <c r="AX31" s="74">
        <f>SIM_BASE!O90</f>
        <v>3135.7479768943012</v>
      </c>
      <c r="AY31" s="98">
        <f t="shared" ref="AY31" si="60">SUM(AW31:AX31)</f>
        <v>3240.3272953518472</v>
      </c>
      <c r="AZ31" s="72">
        <f>SIM_BASE!V90</f>
        <v>64.286204613327882</v>
      </c>
      <c r="BA31" s="72">
        <f>SIM_BASE!W90</f>
        <v>26.400221063150045</v>
      </c>
      <c r="BB31" s="72">
        <f>SIM_BASE!X90</f>
        <v>2.8751852667594266</v>
      </c>
      <c r="BC31" s="88">
        <f t="shared" ref="BC31" si="61">SUM(AZ31:BB31)</f>
        <v>93.561610943237355</v>
      </c>
      <c r="BD31" s="73">
        <f>SIM_BASE!Y90</f>
        <v>192.39555414191315</v>
      </c>
      <c r="BE31" s="72">
        <f>SIM_BASE!R90</f>
        <v>1E-3</v>
      </c>
      <c r="BF31" s="72">
        <f>SIM_BASE!S90</f>
        <v>1E-3</v>
      </c>
      <c r="BG31" s="72">
        <f>SIM_BASE!T90</f>
        <v>1E-3</v>
      </c>
      <c r="BH31" s="88">
        <f t="shared" ref="BH31" si="62">SUM(BE31:BG31)</f>
        <v>3.0000000000000001E-3</v>
      </c>
      <c r="BI31" s="75">
        <f>SIM_BASE!U90</f>
        <v>-608.95038288134697</v>
      </c>
      <c r="BJ31" s="72">
        <f t="shared" ref="BJ31" si="63">AN31-AS31-AZ31-BE31</f>
        <v>-2.0000000000189857E-3</v>
      </c>
      <c r="BK31" s="72">
        <f t="shared" ref="BK31" si="64">AO31-AT31-BA31-BF31</f>
        <v>-2.0000000000083276E-3</v>
      </c>
      <c r="BL31" s="72">
        <f t="shared" ref="BL31" si="65">AP31-AU31-BB31-BG31</f>
        <v>-2.0000000000185416E-3</v>
      </c>
      <c r="BM31" s="88">
        <f t="shared" ref="BM31" si="66">SUM(BJ31:BL31)</f>
        <v>-6.0000000000458549E-3</v>
      </c>
      <c r="BN31" s="73">
        <f>AR31-AW31-AX31-BD31-BI31</f>
        <v>-2.0000000006348273E-3</v>
      </c>
      <c r="BO31" s="74">
        <f>SIM_BASE!AB90</f>
        <v>369214.36741773196</v>
      </c>
      <c r="BP31" s="74">
        <f>SIM_BASE!AC90</f>
        <v>109063.84869093697</v>
      </c>
      <c r="BQ31" s="74">
        <f>SIM_BASE!AD90</f>
        <v>88930.462922570383</v>
      </c>
      <c r="BR31" s="95">
        <f t="shared" ref="BR31" si="67">SUMPRODUCT(BO31:BQ31,AS31:AU31)/AV31</f>
        <v>225822.56515293539</v>
      </c>
      <c r="BS31" s="75">
        <f>SIM_BASE!AE90</f>
        <v>10477.953021340396</v>
      </c>
    </row>
    <row r="32" spans="1:86" x14ac:dyDescent="0.3">
      <c r="A32" s="352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52">
        <v>2</v>
      </c>
      <c r="AL32" s="80">
        <v>2018</v>
      </c>
      <c r="AM32" s="80" t="s">
        <v>1</v>
      </c>
      <c r="AN32" s="70">
        <f>SIM_BASE!E7</f>
        <v>95.48810102722291</v>
      </c>
      <c r="AO32" s="70">
        <f>SIM_BASE!F7</f>
        <v>414.04894000327272</v>
      </c>
      <c r="AP32" s="70">
        <f>SIM_BASE!G7</f>
        <v>33.830309604790386</v>
      </c>
      <c r="AQ32" s="94">
        <f t="shared" si="57"/>
        <v>543.36735063528602</v>
      </c>
      <c r="AR32" s="71">
        <f>SIM_BASE!H7</f>
        <v>332.10403618883595</v>
      </c>
      <c r="AS32" s="70">
        <f>SIM_BASE!K7</f>
        <v>95.065742750544629</v>
      </c>
      <c r="AT32" s="70">
        <f>SIM_BASE!L7</f>
        <v>421.23042051868015</v>
      </c>
      <c r="AU32" s="70">
        <f>SIM_BASE!M7</f>
        <v>33.888387268538111</v>
      </c>
      <c r="AV32" s="94">
        <f t="shared" si="52"/>
        <v>550.18455053776279</v>
      </c>
      <c r="AW32" s="70">
        <f>SIM_BASE!N7</f>
        <v>49.94774199522189</v>
      </c>
      <c r="AX32" s="70">
        <f>SIM_BASE!O7</f>
        <v>4003.5527529301157</v>
      </c>
      <c r="AY32" s="97">
        <f t="shared" si="53"/>
        <v>4053.5004949253375</v>
      </c>
      <c r="AZ32" s="68">
        <f>SIM_BASE!V7</f>
        <v>0.42335827667816217</v>
      </c>
      <c r="BA32" s="68">
        <f>SIM_BASE!W7</f>
        <v>-7.1804805154072264</v>
      </c>
      <c r="BB32" s="68">
        <f>SIM_BASE!X7</f>
        <v>-5.7077663747723439E-2</v>
      </c>
      <c r="BC32" s="87">
        <f t="shared" si="54"/>
        <v>-6.814199902476787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5"/>
        <v>3.0000000000000001E-3</v>
      </c>
      <c r="BI32" s="71">
        <f>SIM_BASE!U7</f>
        <v>-3721.3954587365006</v>
      </c>
      <c r="BJ32" s="68">
        <f t="shared" si="17"/>
        <v>-1.999999999880985E-3</v>
      </c>
      <c r="BK32" s="68">
        <f t="shared" si="18"/>
        <v>-2.0000000002028387E-3</v>
      </c>
      <c r="BL32" s="68">
        <f t="shared" si="19"/>
        <v>-2.0000000000008336E-3</v>
      </c>
      <c r="BM32" s="87">
        <f t="shared" si="56"/>
        <v>-6.0000000000846572E-3</v>
      </c>
      <c r="BN32" s="69">
        <f t="shared" si="21"/>
        <v>-2.0000000013169483E-3</v>
      </c>
      <c r="BO32" s="70">
        <f>SIM_BASE!AB7</f>
        <v>78269.678446868464</v>
      </c>
      <c r="BP32" s="70">
        <f>SIM_BASE!AC7</f>
        <v>79642.820568727446</v>
      </c>
      <c r="BQ32" s="70">
        <f>SIM_BASE!AD7</f>
        <v>83710.933407883742</v>
      </c>
      <c r="BR32" s="94">
        <f t="shared" si="58"/>
        <v>79656.13066189838</v>
      </c>
      <c r="BS32" s="71">
        <f>SIM_BASE!AE7</f>
        <v>6993.2141258114571</v>
      </c>
    </row>
    <row r="33" spans="1:71" x14ac:dyDescent="0.3">
      <c r="A33" s="353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53">
        <v>2</v>
      </c>
      <c r="AL33" s="81">
        <v>2019</v>
      </c>
      <c r="AM33" s="81" t="s">
        <v>1</v>
      </c>
      <c r="AN33" s="74">
        <f>SIM_BASE!E14</f>
        <v>12.974690554865541</v>
      </c>
      <c r="AO33" s="74">
        <f>SIM_BASE!F14</f>
        <v>315.50014270063764</v>
      </c>
      <c r="AP33" s="74">
        <f>SIM_BASE!G14</f>
        <v>36.721302149515758</v>
      </c>
      <c r="AQ33" s="95">
        <f t="shared" si="57"/>
        <v>365.19613540501894</v>
      </c>
      <c r="AR33" s="75">
        <f>SIM_BASE!H14</f>
        <v>336.24028959706618</v>
      </c>
      <c r="AS33" s="74">
        <f>SIM_BASE!K14</f>
        <v>67.459792764921502</v>
      </c>
      <c r="AT33" s="74">
        <f>SIM_BASE!L14</f>
        <v>392.421043051178</v>
      </c>
      <c r="AU33" s="74">
        <f>SIM_BASE!M14</f>
        <v>38.307673528660352</v>
      </c>
      <c r="AV33" s="95">
        <f t="shared" si="52"/>
        <v>498.18850934475989</v>
      </c>
      <c r="AW33" s="74">
        <f>SIM_BASE!N14</f>
        <v>38.691555196702666</v>
      </c>
      <c r="AX33" s="74">
        <f>SIM_BASE!O14</f>
        <v>3083.4763148201291</v>
      </c>
      <c r="AY33" s="98">
        <f t="shared" si="53"/>
        <v>3122.1678700168318</v>
      </c>
      <c r="AZ33" s="72">
        <f>SIM_BASE!V14</f>
        <v>-54.484102210055887</v>
      </c>
      <c r="BA33" s="72">
        <f>SIM_BASE!W14</f>
        <v>-76.919900350540473</v>
      </c>
      <c r="BB33" s="72">
        <f>SIM_BASE!X14</f>
        <v>-1.5853713791445929</v>
      </c>
      <c r="BC33" s="88">
        <f t="shared" si="54"/>
        <v>-132.98937393974094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5"/>
        <v>3.0000000000000001E-3</v>
      </c>
      <c r="BI33" s="75">
        <f>SIM_BASE!U14</f>
        <v>-2785.9265804197657</v>
      </c>
      <c r="BJ33" s="72">
        <f t="shared" si="17"/>
        <v>-2.0000000000758291E-3</v>
      </c>
      <c r="BK33" s="72">
        <f t="shared" si="18"/>
        <v>-1.999999999891088E-3</v>
      </c>
      <c r="BL33" s="72">
        <f t="shared" si="19"/>
        <v>-2.0000000000016662E-3</v>
      </c>
      <c r="BM33" s="88">
        <f t="shared" si="56"/>
        <v>-5.9999999999685834E-3</v>
      </c>
      <c r="BN33" s="73">
        <f t="shared" si="21"/>
        <v>-1.9999999999527063E-3</v>
      </c>
      <c r="BO33" s="74">
        <f>SIM_BASE!AB14</f>
        <v>131767.28039538159</v>
      </c>
      <c r="BP33" s="74">
        <f>SIM_BASE!AC14</f>
        <v>95843.361638360395</v>
      </c>
      <c r="BQ33" s="74">
        <f>SIM_BASE!AD14</f>
        <v>95946.411343025437</v>
      </c>
      <c r="BR33" s="95">
        <f t="shared" si="58"/>
        <v>100715.74962717338</v>
      </c>
      <c r="BS33" s="75">
        <f>SIM_BASE!AE14</f>
        <v>7294.5497251734178</v>
      </c>
    </row>
    <row r="34" spans="1:71" x14ac:dyDescent="0.3">
      <c r="A34" s="353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53">
        <v>2</v>
      </c>
      <c r="AL34" s="81">
        <v>2020</v>
      </c>
      <c r="AM34" s="81" t="s">
        <v>1</v>
      </c>
      <c r="AN34" s="74">
        <f>SIM_BASE!E21</f>
        <v>12.863697407969852</v>
      </c>
      <c r="AO34" s="74">
        <f>SIM_BASE!F21</f>
        <v>336.95829291168934</v>
      </c>
      <c r="AP34" s="74">
        <f>SIM_BASE!G21</f>
        <v>36.975875780854217</v>
      </c>
      <c r="AQ34" s="95">
        <f t="shared" si="57"/>
        <v>386.79786610051343</v>
      </c>
      <c r="AR34" s="75">
        <f>SIM_BASE!H21</f>
        <v>345.87180365097868</v>
      </c>
      <c r="AS34" s="74">
        <f>SIM_BASE!K21</f>
        <v>76.236540738791589</v>
      </c>
      <c r="AT34" s="74">
        <f>SIM_BASE!L21</f>
        <v>421.29265854326894</v>
      </c>
      <c r="AU34" s="74">
        <f>SIM_BASE!M21</f>
        <v>38.485444979954593</v>
      </c>
      <c r="AV34" s="95">
        <f t="shared" si="52"/>
        <v>536.01464426201505</v>
      </c>
      <c r="AW34" s="74">
        <f>SIM_BASE!N21</f>
        <v>39.854560463021556</v>
      </c>
      <c r="AX34" s="74">
        <f>SIM_BASE!O21</f>
        <v>3258.381010810474</v>
      </c>
      <c r="AY34" s="98">
        <f t="shared" si="53"/>
        <v>3298.2355712734957</v>
      </c>
      <c r="AZ34" s="72">
        <f>SIM_BASE!V21</f>
        <v>-63.371843330821818</v>
      </c>
      <c r="BA34" s="72">
        <f>SIM_BASE!W21</f>
        <v>-84.333365631579653</v>
      </c>
      <c r="BB34" s="72">
        <f>SIM_BASE!X21</f>
        <v>-1.5085691991003838</v>
      </c>
      <c r="BC34" s="88">
        <f t="shared" si="54"/>
        <v>-149.21377816150184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5"/>
        <v>3.0000000000000001E-3</v>
      </c>
      <c r="BI34" s="75">
        <f>SIM_BASE!U21</f>
        <v>-2952.3627676225169</v>
      </c>
      <c r="BJ34" s="72">
        <f t="shared" si="17"/>
        <v>-1.9999999999195097E-3</v>
      </c>
      <c r="BK34" s="72">
        <f t="shared" si="18"/>
        <v>-1.9999999999479314E-3</v>
      </c>
      <c r="BL34" s="72">
        <f t="shared" si="19"/>
        <v>-1.9999999999923404E-3</v>
      </c>
      <c r="BM34" s="88">
        <f t="shared" si="56"/>
        <v>-5.9999999998597816E-3</v>
      </c>
      <c r="BN34" s="73">
        <f t="shared" si="21"/>
        <v>-2.0000000004074536E-3</v>
      </c>
      <c r="BO34" s="74">
        <f>SIM_BASE!AB21</f>
        <v>130581.968801838</v>
      </c>
      <c r="BP34" s="74">
        <f>SIM_BASE!AC21</f>
        <v>102641.58396642766</v>
      </c>
      <c r="BQ34" s="74">
        <f>SIM_BASE!AD21</f>
        <v>93903.401434125903</v>
      </c>
      <c r="BR34" s="95">
        <f t="shared" si="58"/>
        <v>105988.10716853209</v>
      </c>
      <c r="BS34" s="75">
        <f>SIM_BASE!AE21</f>
        <v>7513.0478391127381</v>
      </c>
    </row>
    <row r="35" spans="1:71" x14ac:dyDescent="0.3">
      <c r="A35" s="353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53">
        <v>2</v>
      </c>
      <c r="AL35" s="81">
        <v>2021</v>
      </c>
      <c r="AM35" s="81" t="s">
        <v>1</v>
      </c>
      <c r="AN35" s="74">
        <f>SIM_BASE!E28</f>
        <v>13.255388210500005</v>
      </c>
      <c r="AO35" s="74">
        <f>SIM_BASE!F28</f>
        <v>352.87773426931767</v>
      </c>
      <c r="AP35" s="74">
        <f>SIM_BASE!G28</f>
        <v>39.265946749904906</v>
      </c>
      <c r="AQ35" s="95">
        <f t="shared" si="57"/>
        <v>405.39906922972261</v>
      </c>
      <c r="AR35" s="75">
        <f>SIM_BASE!H28</f>
        <v>359.2628225684299</v>
      </c>
      <c r="AS35" s="74">
        <f>SIM_BASE!K28</f>
        <v>78.183297312624049</v>
      </c>
      <c r="AT35" s="74">
        <f>SIM_BASE!L28</f>
        <v>444.29394193606538</v>
      </c>
      <c r="AU35" s="74">
        <f>SIM_BASE!M28</f>
        <v>41.152874840856029</v>
      </c>
      <c r="AV35" s="95">
        <f t="shared" si="52"/>
        <v>563.63011408954549</v>
      </c>
      <c r="AW35" s="74">
        <f>SIM_BASE!N28</f>
        <v>39.954002869369383</v>
      </c>
      <c r="AX35" s="74">
        <f>SIM_BASE!O28</f>
        <v>3443.919173791885</v>
      </c>
      <c r="AY35" s="98">
        <f t="shared" si="53"/>
        <v>3483.8731766612545</v>
      </c>
      <c r="AZ35" s="72">
        <f>SIM_BASE!V28</f>
        <v>-64.9269091021241</v>
      </c>
      <c r="BA35" s="72">
        <f>SIM_BASE!W28</f>
        <v>-91.41520766674779</v>
      </c>
      <c r="BB35" s="72">
        <f>SIM_BASE!X28</f>
        <v>-1.885928090951128</v>
      </c>
      <c r="BC35" s="88">
        <f t="shared" si="54"/>
        <v>-158.22804485982303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5"/>
        <v>3.0000000000000001E-3</v>
      </c>
      <c r="BI35" s="75">
        <f>SIM_BASE!U28</f>
        <v>-3124.6093540928241</v>
      </c>
      <c r="BJ35" s="72">
        <f t="shared" si="17"/>
        <v>-1.9999999999479314E-3</v>
      </c>
      <c r="BK35" s="72">
        <f t="shared" si="18"/>
        <v>-1.9999999999195097E-3</v>
      </c>
      <c r="BL35" s="72">
        <f t="shared" si="19"/>
        <v>-1.9999999999952269E-3</v>
      </c>
      <c r="BM35" s="88">
        <f t="shared" si="56"/>
        <v>-5.9999999998626681E-3</v>
      </c>
      <c r="BN35" s="73">
        <f t="shared" si="21"/>
        <v>-2.0000000004074536E-3</v>
      </c>
      <c r="BO35" s="74">
        <f>SIM_BASE!AB28</f>
        <v>138066.47311714917</v>
      </c>
      <c r="BP35" s="74">
        <f>SIM_BASE!AC28</f>
        <v>106057.36441779678</v>
      </c>
      <c r="BQ35" s="74">
        <f>SIM_BASE!AD28</f>
        <v>96537.157099249074</v>
      </c>
      <c r="BR35" s="95">
        <f t="shared" si="58"/>
        <v>109802.36261634766</v>
      </c>
      <c r="BS35" s="75">
        <f>SIM_BASE!AE28</f>
        <v>7769.1567032821094</v>
      </c>
    </row>
    <row r="36" spans="1:71" x14ac:dyDescent="0.3">
      <c r="A36" s="353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53">
        <v>2</v>
      </c>
      <c r="AL36" s="81">
        <v>2022</v>
      </c>
      <c r="AM36" s="81" t="s">
        <v>1</v>
      </c>
      <c r="AN36" s="74">
        <f>SIM_BASE!E35</f>
        <v>13.659237246318069</v>
      </c>
      <c r="AO36" s="74">
        <f>SIM_BASE!F35</f>
        <v>371.8221282664299</v>
      </c>
      <c r="AP36" s="74">
        <f>SIM_BASE!G35</f>
        <v>42.023308408100561</v>
      </c>
      <c r="AQ36" s="95">
        <f t="shared" si="57"/>
        <v>427.50467392084852</v>
      </c>
      <c r="AR36" s="75">
        <f>SIM_BASE!H35</f>
        <v>374.68472894202512</v>
      </c>
      <c r="AS36" s="74">
        <f>SIM_BASE!K35</f>
        <v>80.184457208825037</v>
      </c>
      <c r="AT36" s="74">
        <f>SIM_BASE!L35</f>
        <v>470.30485603065677</v>
      </c>
      <c r="AU36" s="74">
        <f>SIM_BASE!M35</f>
        <v>44.301979318089657</v>
      </c>
      <c r="AV36" s="95">
        <f t="shared" si="52"/>
        <v>594.79129255757152</v>
      </c>
      <c r="AW36" s="74">
        <f>SIM_BASE!N35</f>
        <v>40.302346286995331</v>
      </c>
      <c r="AX36" s="74">
        <f>SIM_BASE!O35</f>
        <v>3654.1852023167298</v>
      </c>
      <c r="AY36" s="98">
        <f t="shared" si="53"/>
        <v>3694.4875486037254</v>
      </c>
      <c r="AZ36" s="72">
        <f>SIM_BASE!V35</f>
        <v>-66.524219962506862</v>
      </c>
      <c r="BA36" s="72">
        <f>SIM_BASE!W35</f>
        <v>-98.481727764226804</v>
      </c>
      <c r="BB36" s="72">
        <f>SIM_BASE!X35</f>
        <v>-2.2776709099890984</v>
      </c>
      <c r="BC36" s="88">
        <f t="shared" si="54"/>
        <v>-167.28361863672276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5"/>
        <v>3.0000000000000001E-3</v>
      </c>
      <c r="BI36" s="75">
        <f>SIM_BASE!U35</f>
        <v>-3319.8018196617004</v>
      </c>
      <c r="BJ36" s="72">
        <f t="shared" si="17"/>
        <v>-2.0000000001042509E-3</v>
      </c>
      <c r="BK36" s="72">
        <f t="shared" si="18"/>
        <v>-2.0000000000616183E-3</v>
      </c>
      <c r="BL36" s="72">
        <f t="shared" si="19"/>
        <v>-1.9999999999972254E-3</v>
      </c>
      <c r="BM36" s="88">
        <f t="shared" si="56"/>
        <v>-6.0000000001630945E-3</v>
      </c>
      <c r="BN36" s="73">
        <f t="shared" si="21"/>
        <v>-1.9999999999527063E-3</v>
      </c>
      <c r="BO36" s="74">
        <f>SIM_BASE!AB35</f>
        <v>145759.65715613303</v>
      </c>
      <c r="BP36" s="74">
        <f>SIM_BASE!AC35</f>
        <v>108903.47852812694</v>
      </c>
      <c r="BQ36" s="74">
        <f>SIM_BASE!AD35</f>
        <v>98327.909072687675</v>
      </c>
      <c r="BR36" s="95">
        <f t="shared" si="58"/>
        <v>113084.39719641018</v>
      </c>
      <c r="BS36" s="75">
        <f>SIM_BASE!AE35</f>
        <v>8033.0037347721418</v>
      </c>
    </row>
    <row r="37" spans="1:71" x14ac:dyDescent="0.3">
      <c r="A37" s="353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53">
        <v>2</v>
      </c>
      <c r="AL37" s="81">
        <v>2023</v>
      </c>
      <c r="AM37" s="81" t="s">
        <v>1</v>
      </c>
      <c r="AN37" s="74">
        <f>SIM_BASE!E42</f>
        <v>14.067187030274294</v>
      </c>
      <c r="AO37" s="74">
        <f>SIM_BASE!F42</f>
        <v>394.05532548455142</v>
      </c>
      <c r="AP37" s="74">
        <f>SIM_BASE!G42</f>
        <v>45.337022684965177</v>
      </c>
      <c r="AQ37" s="95">
        <f t="shared" si="57"/>
        <v>453.45953519979088</v>
      </c>
      <c r="AR37" s="75">
        <f>SIM_BASE!H42</f>
        <v>391.97343992653015</v>
      </c>
      <c r="AS37" s="74">
        <f>SIM_BASE!K42</f>
        <v>82.283747168059506</v>
      </c>
      <c r="AT37" s="74">
        <f>SIM_BASE!L42</f>
        <v>500.02405836273016</v>
      </c>
      <c r="AU37" s="74">
        <f>SIM_BASE!M42</f>
        <v>48.025511874469217</v>
      </c>
      <c r="AV37" s="95">
        <f t="shared" si="52"/>
        <v>630.33331740525887</v>
      </c>
      <c r="AW37" s="74">
        <f>SIM_BASE!N42</f>
        <v>40.947110130512527</v>
      </c>
      <c r="AX37" s="74">
        <f>SIM_BASE!O42</f>
        <v>3890.7929409459834</v>
      </c>
      <c r="AY37" s="98">
        <f t="shared" si="53"/>
        <v>3931.740051076496</v>
      </c>
      <c r="AZ37" s="72">
        <f>SIM_BASE!V42</f>
        <v>-68.215560137785161</v>
      </c>
      <c r="BA37" s="72">
        <f>SIM_BASE!W42</f>
        <v>-105.96773287817902</v>
      </c>
      <c r="BB37" s="72">
        <f>SIM_BASE!X42</f>
        <v>-2.6874891895040149</v>
      </c>
      <c r="BC37" s="88">
        <f t="shared" si="54"/>
        <v>-176.8707822054682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5"/>
        <v>3.0000000000000001E-3</v>
      </c>
      <c r="BI37" s="75">
        <f>SIM_BASE!U42</f>
        <v>-3539.7656111499655</v>
      </c>
      <c r="BJ37" s="72">
        <f t="shared" si="17"/>
        <v>-2.0000000000474074E-3</v>
      </c>
      <c r="BK37" s="72">
        <f t="shared" si="18"/>
        <v>-1.9999999997205578E-3</v>
      </c>
      <c r="BL37" s="72">
        <f t="shared" si="19"/>
        <v>-2.0000000000247589E-3</v>
      </c>
      <c r="BM37" s="88">
        <f t="shared" si="56"/>
        <v>-5.9999999997927241E-3</v>
      </c>
      <c r="BN37" s="73">
        <f t="shared" si="21"/>
        <v>-2.0000000004074536E-3</v>
      </c>
      <c r="BO37" s="74">
        <f>SIM_BASE!AB42</f>
        <v>153538.73825238991</v>
      </c>
      <c r="BP37" s="74">
        <f>SIM_BASE!AC42</f>
        <v>111033.13243452624</v>
      </c>
      <c r="BQ37" s="74">
        <f>SIM_BASE!AD42</f>
        <v>99210.375926132765</v>
      </c>
      <c r="BR37" s="95">
        <f t="shared" si="58"/>
        <v>115681.03301087463</v>
      </c>
      <c r="BS37" s="75">
        <f>SIM_BASE!AE42</f>
        <v>8291.7225082121404</v>
      </c>
    </row>
    <row r="38" spans="1:71" x14ac:dyDescent="0.3">
      <c r="A38" s="353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53">
        <v>2</v>
      </c>
      <c r="AL38" s="81">
        <v>2024</v>
      </c>
      <c r="AM38" s="81" t="s">
        <v>1</v>
      </c>
      <c r="AN38" s="74">
        <f>SIM_BASE!E49</f>
        <v>14.504640408594581</v>
      </c>
      <c r="AO38" s="74">
        <f>SIM_BASE!F49</f>
        <v>419.94027331995289</v>
      </c>
      <c r="AP38" s="74">
        <f>SIM_BASE!G49</f>
        <v>49.307001636614082</v>
      </c>
      <c r="AQ38" s="95">
        <f t="shared" si="57"/>
        <v>483.75191536516155</v>
      </c>
      <c r="AR38" s="75">
        <f>SIM_BASE!H49</f>
        <v>411.75481568968223</v>
      </c>
      <c r="AS38" s="74">
        <f>SIM_BASE!K49</f>
        <v>84.505992947425469</v>
      </c>
      <c r="AT38" s="74">
        <f>SIM_BASE!L49</f>
        <v>534.00988214053609</v>
      </c>
      <c r="AU38" s="74">
        <f>SIM_BASE!M49</f>
        <v>52.421754279518439</v>
      </c>
      <c r="AV38" s="95">
        <f t="shared" si="52"/>
        <v>670.93762936747999</v>
      </c>
      <c r="AW38" s="74">
        <f>SIM_BASE!N49</f>
        <v>41.872636683595758</v>
      </c>
      <c r="AX38" s="74">
        <f>SIM_BASE!O49</f>
        <v>4154.2627038284336</v>
      </c>
      <c r="AY38" s="98">
        <f t="shared" si="53"/>
        <v>4196.135340512029</v>
      </c>
      <c r="AZ38" s="72">
        <f>SIM_BASE!V49</f>
        <v>-70.000352538830896</v>
      </c>
      <c r="BA38" s="72">
        <f>SIM_BASE!W49</f>
        <v>-114.06860882058315</v>
      </c>
      <c r="BB38" s="72">
        <f>SIM_BASE!X49</f>
        <v>-3.1137526429043629</v>
      </c>
      <c r="BC38" s="88">
        <f t="shared" si="54"/>
        <v>-187.18271400231842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5"/>
        <v>3.0000000000000001E-3</v>
      </c>
      <c r="BI38" s="75">
        <f>SIM_BASE!U49</f>
        <v>-3784.3795248223478</v>
      </c>
      <c r="BJ38" s="72">
        <f t="shared" si="17"/>
        <v>-1.999999999990564E-3</v>
      </c>
      <c r="BK38" s="72">
        <f t="shared" si="18"/>
        <v>-2.0000000000474074E-3</v>
      </c>
      <c r="BL38" s="72">
        <f t="shared" si="19"/>
        <v>-1.9999999999936726E-3</v>
      </c>
      <c r="BM38" s="88">
        <f t="shared" si="56"/>
        <v>-6.0000000000316441E-3</v>
      </c>
      <c r="BN38" s="73">
        <f t="shared" si="21"/>
        <v>-1.9999999994979589E-3</v>
      </c>
      <c r="BO38" s="74">
        <f>SIM_BASE!AB49</f>
        <v>161305.67112339649</v>
      </c>
      <c r="BP38" s="74">
        <f>SIM_BASE!AC49</f>
        <v>112379.21616866086</v>
      </c>
      <c r="BQ38" s="74">
        <f>SIM_BASE!AD49</f>
        <v>99155.09192629157</v>
      </c>
      <c r="BR38" s="95">
        <f t="shared" si="58"/>
        <v>117508.37678675946</v>
      </c>
      <c r="BS38" s="75">
        <f>SIM_BASE!AE49</f>
        <v>8560.3299245296512</v>
      </c>
    </row>
    <row r="39" spans="1:71" x14ac:dyDescent="0.3">
      <c r="A39" s="353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53">
        <v>2</v>
      </c>
      <c r="AL39" s="81">
        <v>2025</v>
      </c>
      <c r="AM39" s="81" t="s">
        <v>1</v>
      </c>
      <c r="AN39" s="74">
        <f>SIM_BASE!E56</f>
        <v>14.961033006576354</v>
      </c>
      <c r="AO39" s="74">
        <f>SIM_BASE!F56</f>
        <v>449.88802993488974</v>
      </c>
      <c r="AP39" s="74">
        <f>SIM_BASE!G56</f>
        <v>54.054949726282487</v>
      </c>
      <c r="AQ39" s="95">
        <f t="shared" si="57"/>
        <v>518.90401266774859</v>
      </c>
      <c r="AR39" s="75">
        <f>SIM_BASE!H56</f>
        <v>434.32733905603988</v>
      </c>
      <c r="AS39" s="74">
        <f>SIM_BASE!K56</f>
        <v>86.833323503621656</v>
      </c>
      <c r="AT39" s="74">
        <f>SIM_BASE!L56</f>
        <v>573.0731002610371</v>
      </c>
      <c r="AU39" s="74">
        <f>SIM_BASE!M56</f>
        <v>57.622126897240832</v>
      </c>
      <c r="AV39" s="95">
        <f t="shared" si="52"/>
        <v>717.52855066189954</v>
      </c>
      <c r="AW39" s="74">
        <f>SIM_BASE!N56</f>
        <v>43.077341590721147</v>
      </c>
      <c r="AX39" s="74">
        <f>SIM_BASE!O56</f>
        <v>4447.6551666273263</v>
      </c>
      <c r="AY39" s="98">
        <f t="shared" si="53"/>
        <v>4490.7325082180478</v>
      </c>
      <c r="AZ39" s="72">
        <f>SIM_BASE!V56</f>
        <v>-71.871290497045308</v>
      </c>
      <c r="BA39" s="72">
        <f>SIM_BASE!W56</f>
        <v>-123.1840703261478</v>
      </c>
      <c r="BB39" s="72">
        <f>SIM_BASE!X56</f>
        <v>-3.5661771709583832</v>
      </c>
      <c r="BC39" s="88">
        <f t="shared" si="54"/>
        <v>-198.62153799415148</v>
      </c>
      <c r="BD39" s="73">
        <f>SIM_BASE!Y56</f>
        <v>1E-3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5"/>
        <v>3.0000000000000001E-3</v>
      </c>
      <c r="BI39" s="75">
        <f>SIM_BASE!U56</f>
        <v>-4056.4041691620077</v>
      </c>
      <c r="BJ39" s="72">
        <f t="shared" si="17"/>
        <v>-1.999999999990564E-3</v>
      </c>
      <c r="BK39" s="72">
        <f t="shared" si="18"/>
        <v>-1.9999999995500275E-3</v>
      </c>
      <c r="BL39" s="72">
        <f t="shared" si="19"/>
        <v>-1.9999999999621423E-3</v>
      </c>
      <c r="BM39" s="88">
        <f t="shared" si="56"/>
        <v>-5.9999999995027338E-3</v>
      </c>
      <c r="BN39" s="73">
        <f t="shared" si="21"/>
        <v>-1.9999999999527063E-3</v>
      </c>
      <c r="BO39" s="74">
        <f>SIM_BASE!AB56</f>
        <v>169093.63704094273</v>
      </c>
      <c r="BP39" s="74">
        <f>SIM_BASE!AC56</f>
        <v>112871.99824132578</v>
      </c>
      <c r="BQ39" s="74">
        <f>SIM_BASE!AD56</f>
        <v>98180.193710200299</v>
      </c>
      <c r="BR39" s="95">
        <f t="shared" si="58"/>
        <v>118495.93992424062</v>
      </c>
      <c r="BS39" s="75">
        <f>SIM_BASE!AE56</f>
        <v>8839.2129327624298</v>
      </c>
    </row>
    <row r="40" spans="1:71" x14ac:dyDescent="0.3">
      <c r="A40" s="353">
        <v>2</v>
      </c>
      <c r="B40" s="81">
        <v>2026</v>
      </c>
      <c r="C40" s="81" t="s">
        <v>1</v>
      </c>
      <c r="D40" s="74">
        <v>113.91126366292406</v>
      </c>
      <c r="E40" s="74">
        <v>644.53946502152507</v>
      </c>
      <c r="F40" s="74">
        <v>59.484051642256453</v>
      </c>
      <c r="G40" s="95">
        <v>817.93478032670555</v>
      </c>
      <c r="H40" s="75">
        <v>451.947726976181</v>
      </c>
      <c r="I40" s="74">
        <v>109.23890363723179</v>
      </c>
      <c r="J40" s="74">
        <v>675.57719737051411</v>
      </c>
      <c r="K40" s="74">
        <v>63.55510800826351</v>
      </c>
      <c r="L40" s="95">
        <v>848.3712090160094</v>
      </c>
      <c r="M40" s="74">
        <v>52.376003165584244</v>
      </c>
      <c r="N40" s="74">
        <v>6383.6256520043116</v>
      </c>
      <c r="O40" s="98">
        <v>6436.0016551698955</v>
      </c>
      <c r="P40" s="72">
        <v>4.6733600256922392</v>
      </c>
      <c r="Q40" s="72">
        <v>-31.036732348989254</v>
      </c>
      <c r="R40" s="72">
        <v>-4.0700563660071163</v>
      </c>
      <c r="S40" s="88">
        <v>-30.433428689304129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-5984.0529281937143</v>
      </c>
      <c r="Z40" s="72">
        <v>-1.9999999999683596E-3</v>
      </c>
      <c r="AA40" s="72">
        <v>-1.9999999997845066E-3</v>
      </c>
      <c r="AB40" s="72">
        <v>-1.9999999999399378E-3</v>
      </c>
      <c r="AC40" s="88">
        <v>-5.999999999692804E-3</v>
      </c>
      <c r="AD40" s="73">
        <v>-2.0000000004074536E-3</v>
      </c>
      <c r="AE40" s="74">
        <v>131123.85573831078</v>
      </c>
      <c r="AF40" s="74">
        <v>96422.684123359271</v>
      </c>
      <c r="AG40" s="74">
        <v>92821.802431020697</v>
      </c>
      <c r="AH40" s="95">
        <v>100621.15700811738</v>
      </c>
      <c r="AI40" s="75">
        <v>9116.7048058287619</v>
      </c>
      <c r="AK40" s="353">
        <v>2</v>
      </c>
      <c r="AL40" s="81">
        <v>2026</v>
      </c>
      <c r="AM40" s="81" t="s">
        <v>1</v>
      </c>
      <c r="AN40" s="74">
        <f>SIM_BASE!E63</f>
        <v>14.389524855646417</v>
      </c>
      <c r="AO40" s="74">
        <f>SIM_BASE!F63</f>
        <v>484.78616889549994</v>
      </c>
      <c r="AP40" s="74">
        <f>SIM_BASE!G63</f>
        <v>59.791021386552295</v>
      </c>
      <c r="AQ40" s="95">
        <f t="shared" si="57"/>
        <v>558.96671513769866</v>
      </c>
      <c r="AR40" s="75">
        <f>SIM_BASE!H63</f>
        <v>461.04609731534293</v>
      </c>
      <c r="AS40" s="74">
        <f>SIM_BASE!K63</f>
        <v>83.612509704426614</v>
      </c>
      <c r="AT40" s="74">
        <f>SIM_BASE!L63</f>
        <v>618.50429386500446</v>
      </c>
      <c r="AU40" s="74">
        <f>SIM_BASE!M63</f>
        <v>63.834287554817905</v>
      </c>
      <c r="AV40" s="95">
        <f t="shared" si="52"/>
        <v>765.95109112424905</v>
      </c>
      <c r="AW40" s="74">
        <f>SIM_BASE!N63</f>
        <v>43.095995301448696</v>
      </c>
      <c r="AX40" s="74">
        <f>SIM_BASE!O63</f>
        <v>4852.9024097716247</v>
      </c>
      <c r="AY40" s="98">
        <f t="shared" si="53"/>
        <v>4895.9984050730736</v>
      </c>
      <c r="AZ40" s="72">
        <f>SIM_BASE!V63</f>
        <v>-69.221984848780195</v>
      </c>
      <c r="BA40" s="72">
        <f>SIM_BASE!W63</f>
        <v>-133.7171249695044</v>
      </c>
      <c r="BB40" s="72">
        <f>SIM_BASE!X63</f>
        <v>-4.0422661682656038</v>
      </c>
      <c r="BC40" s="88">
        <f t="shared" si="54"/>
        <v>-206.98137598655018</v>
      </c>
      <c r="BD40" s="73">
        <f>SIM_BASE!Y63</f>
        <v>1E-3</v>
      </c>
      <c r="BE40" s="72">
        <f>SIM_BASE!R63</f>
        <v>1E-3</v>
      </c>
      <c r="BF40" s="72">
        <f>SIM_BASE!S63</f>
        <v>1E-3</v>
      </c>
      <c r="BG40" s="72">
        <f>SIM_BASE!T63</f>
        <v>1E-3</v>
      </c>
      <c r="BH40" s="88">
        <f t="shared" si="55"/>
        <v>3.0000000000000001E-3</v>
      </c>
      <c r="BI40" s="75">
        <f>SIM_BASE!U63</f>
        <v>-4434.9513077577303</v>
      </c>
      <c r="BJ40" s="72">
        <f t="shared" ref="BJ40:BJ74" si="68">AN40-AS40-AZ40-BE40</f>
        <v>-2.0000000000047749E-3</v>
      </c>
      <c r="BK40" s="72">
        <f t="shared" ref="BK40:BK74" si="69">AO40-AT40-BA40-BF40</f>
        <v>-2.0000000001184617E-3</v>
      </c>
      <c r="BL40" s="72">
        <f t="shared" ref="BL40:BL74" si="70">AP40-AU40-BB40-BG40</f>
        <v>-2.0000000000065512E-3</v>
      </c>
      <c r="BM40" s="88">
        <f t="shared" si="56"/>
        <v>-6.0000000001297878E-3</v>
      </c>
      <c r="BN40" s="73">
        <f t="shared" ref="BN40:BN74" si="71">AR40-AW40-AX40-BD40-BI40</f>
        <v>-2.0000000004074536E-3</v>
      </c>
      <c r="BO40" s="74">
        <f>SIM_BASE!AB63</f>
        <v>193967.74989858945</v>
      </c>
      <c r="BP40" s="74">
        <f>SIM_BASE!AC63</f>
        <v>113403.73738965827</v>
      </c>
      <c r="BQ40" s="74">
        <f>SIM_BASE!AD63</f>
        <v>97063.119312388983</v>
      </c>
      <c r="BR40" s="95">
        <f t="shared" si="58"/>
        <v>120836.41505084744</v>
      </c>
      <c r="BS40" s="75">
        <f>SIM_BASE!AE63</f>
        <v>9116.8811944436948</v>
      </c>
    </row>
    <row r="41" spans="1:71" x14ac:dyDescent="0.3">
      <c r="A41" s="353">
        <v>2</v>
      </c>
      <c r="B41" s="81">
        <v>2027</v>
      </c>
      <c r="C41" s="81" t="s">
        <v>1</v>
      </c>
      <c r="D41" s="74">
        <v>108.74371508433626</v>
      </c>
      <c r="E41" s="74">
        <v>698.4944606219874</v>
      </c>
      <c r="F41" s="74">
        <v>66.337814766738802</v>
      </c>
      <c r="G41" s="95">
        <v>873.57599047306246</v>
      </c>
      <c r="H41" s="75">
        <v>482.00634498308398</v>
      </c>
      <c r="I41" s="74">
        <v>104.43213611067962</v>
      </c>
      <c r="J41" s="74">
        <v>732.40610422881605</v>
      </c>
      <c r="K41" s="74">
        <v>70.893963000230073</v>
      </c>
      <c r="L41" s="95">
        <v>907.73220333972574</v>
      </c>
      <c r="M41" s="74">
        <v>52.351959362180708</v>
      </c>
      <c r="N41" s="74">
        <v>6909.2275361957591</v>
      </c>
      <c r="O41" s="98">
        <v>6961.5794955579395</v>
      </c>
      <c r="P41" s="72">
        <v>4.3125789736567866</v>
      </c>
      <c r="Q41" s="72">
        <v>-33.910643606828593</v>
      </c>
      <c r="R41" s="72">
        <v>-4.5551482334912565</v>
      </c>
      <c r="S41" s="88">
        <v>-34.153212866663061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-6479.5721505748552</v>
      </c>
      <c r="Z41" s="72">
        <v>-2.000000000149548E-3</v>
      </c>
      <c r="AA41" s="72">
        <v>-2.0000000000545129E-3</v>
      </c>
      <c r="AB41" s="72">
        <v>-2.0000000000145448E-3</v>
      </c>
      <c r="AC41" s="88">
        <v>-6.0000000002186056E-3</v>
      </c>
      <c r="AD41" s="73">
        <v>-2.0000000004074536E-3</v>
      </c>
      <c r="AE41" s="74">
        <v>151779.28107867017</v>
      </c>
      <c r="AF41" s="74">
        <v>96304.681011489069</v>
      </c>
      <c r="AG41" s="74">
        <v>91010.808539203921</v>
      </c>
      <c r="AH41" s="95">
        <v>102273.43188954458</v>
      </c>
      <c r="AI41" s="75">
        <v>9404.5388326685097</v>
      </c>
      <c r="AK41" s="353">
        <v>2</v>
      </c>
      <c r="AL41" s="81">
        <v>2027</v>
      </c>
      <c r="AM41" s="81" t="s">
        <v>1</v>
      </c>
      <c r="AN41" s="74">
        <f>SIM_BASE!E70</f>
        <v>13.700855948127428</v>
      </c>
      <c r="AO41" s="74">
        <f>SIM_BASE!F70</f>
        <v>525.41458114428144</v>
      </c>
      <c r="AP41" s="74">
        <f>SIM_BASE!G70</f>
        <v>66.674914592220532</v>
      </c>
      <c r="AQ41" s="95">
        <f t="shared" si="57"/>
        <v>605.7903516846294</v>
      </c>
      <c r="AR41" s="75">
        <f>SIM_BASE!H70</f>
        <v>491.59297955918976</v>
      </c>
      <c r="AS41" s="74">
        <f>SIM_BASE!K70</f>
        <v>79.840557406110321</v>
      </c>
      <c r="AT41" s="74">
        <f>SIM_BASE!L70</f>
        <v>670.63110717457198</v>
      </c>
      <c r="AU41" s="74">
        <f>SIM_BASE!M70</f>
        <v>71.22037960288759</v>
      </c>
      <c r="AV41" s="95">
        <f t="shared" si="52"/>
        <v>821.69204418356981</v>
      </c>
      <c r="AW41" s="74">
        <f>SIM_BASE!N70</f>
        <v>43.196607053919706</v>
      </c>
      <c r="AX41" s="74">
        <f>SIM_BASE!O70</f>
        <v>5322.3709841706695</v>
      </c>
      <c r="AY41" s="98">
        <f t="shared" si="53"/>
        <v>5365.5675912245897</v>
      </c>
      <c r="AZ41" s="72">
        <f>SIM_BASE!V70</f>
        <v>-66.138701457982904</v>
      </c>
      <c r="BA41" s="72">
        <f>SIM_BASE!W70</f>
        <v>-145.2155260302907</v>
      </c>
      <c r="BB41" s="72">
        <f>SIM_BASE!X70</f>
        <v>-4.544465010667067</v>
      </c>
      <c r="BC41" s="88">
        <f t="shared" si="54"/>
        <v>-215.89869249894068</v>
      </c>
      <c r="BD41" s="73">
        <f>SIM_BASE!Y70</f>
        <v>1E-3</v>
      </c>
      <c r="BE41" s="72">
        <f>SIM_BASE!R70</f>
        <v>1E-3</v>
      </c>
      <c r="BF41" s="72">
        <f>SIM_BASE!S70</f>
        <v>1E-3</v>
      </c>
      <c r="BG41" s="72">
        <f>SIM_BASE!T70</f>
        <v>1E-3</v>
      </c>
      <c r="BH41" s="88">
        <f t="shared" si="55"/>
        <v>3.0000000000000001E-3</v>
      </c>
      <c r="BI41" s="75">
        <f>SIM_BASE!U70</f>
        <v>-4873.9736116653994</v>
      </c>
      <c r="BJ41" s="72">
        <f t="shared" si="68"/>
        <v>-1.999999999990564E-3</v>
      </c>
      <c r="BK41" s="72">
        <f t="shared" si="69"/>
        <v>-1.9999999998342446E-3</v>
      </c>
      <c r="BL41" s="72">
        <f t="shared" si="70"/>
        <v>-1.9999999999914522E-3</v>
      </c>
      <c r="BM41" s="88">
        <f t="shared" si="56"/>
        <v>-5.9999999998162608E-3</v>
      </c>
      <c r="BN41" s="73">
        <f t="shared" si="71"/>
        <v>-2.0000000004074536E-3</v>
      </c>
      <c r="BO41" s="74">
        <f>SIM_BASE!AB70</f>
        <v>224813.05785946132</v>
      </c>
      <c r="BP41" s="74">
        <f>SIM_BASE!AC70</f>
        <v>113234.37396013946</v>
      </c>
      <c r="BQ41" s="74">
        <f>SIM_BASE!AD70</f>
        <v>95157.092011275177</v>
      </c>
      <c r="BR41" s="95">
        <f t="shared" si="58"/>
        <v>122509.1789050355</v>
      </c>
      <c r="BS41" s="75">
        <f>SIM_BASE!AE70</f>
        <v>9404.7136979790557</v>
      </c>
    </row>
    <row r="42" spans="1:71" x14ac:dyDescent="0.3">
      <c r="A42" s="353">
        <v>2</v>
      </c>
      <c r="B42" s="81">
        <v>2028</v>
      </c>
      <c r="C42" s="81" t="s">
        <v>1</v>
      </c>
      <c r="D42" s="74">
        <v>102.88278652524303</v>
      </c>
      <c r="E42" s="74">
        <v>761.1976716090594</v>
      </c>
      <c r="F42" s="74">
        <v>75.796174167921052</v>
      </c>
      <c r="G42" s="95">
        <v>939.87663230222358</v>
      </c>
      <c r="H42" s="75">
        <v>517.11638862173743</v>
      </c>
      <c r="I42" s="74">
        <v>99.097150532505381</v>
      </c>
      <c r="J42" s="74">
        <v>798.05382561347096</v>
      </c>
      <c r="K42" s="74">
        <v>78.498320967090947</v>
      </c>
      <c r="L42" s="95">
        <v>975.64929711306729</v>
      </c>
      <c r="M42" s="74">
        <v>52.027148639616613</v>
      </c>
      <c r="N42" s="74">
        <v>7560.6459684551701</v>
      </c>
      <c r="O42" s="98">
        <v>7612.6731170947869</v>
      </c>
      <c r="P42" s="72">
        <v>3.7866359927374789</v>
      </c>
      <c r="Q42" s="72">
        <v>-36.855154004411361</v>
      </c>
      <c r="R42" s="72">
        <v>-2.7011467991698925</v>
      </c>
      <c r="S42" s="88">
        <v>-35.769664810843771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-7095.5557284730494</v>
      </c>
      <c r="Z42" s="72">
        <v>-1.9999999998258069E-3</v>
      </c>
      <c r="AA42" s="72">
        <v>-2.0000000002037268E-3</v>
      </c>
      <c r="AB42" s="72">
        <v>-2.0000000000029985E-3</v>
      </c>
      <c r="AC42" s="88">
        <v>-6.0000000000325323E-3</v>
      </c>
      <c r="AD42" s="73">
        <v>-2.0000000004074536E-3</v>
      </c>
      <c r="AE42" s="74">
        <v>177713.79963834956</v>
      </c>
      <c r="AF42" s="74">
        <v>95747.260251571657</v>
      </c>
      <c r="AG42" s="74">
        <v>90351.12823521666</v>
      </c>
      <c r="AH42" s="95">
        <v>103638.48019302076</v>
      </c>
      <c r="AI42" s="75">
        <v>9702.9249197366516</v>
      </c>
      <c r="AK42" s="353">
        <v>2</v>
      </c>
      <c r="AL42" s="81">
        <v>2028</v>
      </c>
      <c r="AM42" s="81" t="s">
        <v>1</v>
      </c>
      <c r="AN42" s="74">
        <f>SIM_BASE!E77</f>
        <v>12.946828738902063</v>
      </c>
      <c r="AO42" s="74">
        <f>SIM_BASE!F77</f>
        <v>572.54510248744918</v>
      </c>
      <c r="AP42" s="74">
        <f>SIM_BASE!G77</f>
        <v>74.953701430266435</v>
      </c>
      <c r="AQ42" s="95">
        <f t="shared" si="57"/>
        <v>660.44563265661759</v>
      </c>
      <c r="AR42" s="75">
        <f>SIM_BASE!H77</f>
        <v>526.54511744206479</v>
      </c>
      <c r="AS42" s="74">
        <f>SIM_BASE!K77</f>
        <v>75.662165206963806</v>
      </c>
      <c r="AT42" s="74">
        <f>SIM_BASE!L77</f>
        <v>730.66288412526342</v>
      </c>
      <c r="AU42" s="74">
        <f>SIM_BASE!M77</f>
        <v>80.031787967702002</v>
      </c>
      <c r="AV42" s="95">
        <f t="shared" si="52"/>
        <v>886.35683729992923</v>
      </c>
      <c r="AW42" s="74">
        <f>SIM_BASE!N77</f>
        <v>43.380204920031268</v>
      </c>
      <c r="AX42" s="74">
        <f>SIM_BASE!O77</f>
        <v>5869.2156166765899</v>
      </c>
      <c r="AY42" s="98">
        <f t="shared" si="53"/>
        <v>5912.5958215966211</v>
      </c>
      <c r="AZ42" s="72">
        <f>SIM_BASE!V77</f>
        <v>-62.714336468061902</v>
      </c>
      <c r="BA42" s="72">
        <f>SIM_BASE!W77</f>
        <v>-158.1167816378142</v>
      </c>
      <c r="BB42" s="72">
        <f>SIM_BASE!X77</f>
        <v>-5.0770865374355552</v>
      </c>
      <c r="BC42" s="88">
        <f t="shared" si="54"/>
        <v>-225.90820464331165</v>
      </c>
      <c r="BD42" s="73">
        <f>SIM_BASE!Y77</f>
        <v>1E-3</v>
      </c>
      <c r="BE42" s="72">
        <f>SIM_BASE!R77</f>
        <v>1E-3</v>
      </c>
      <c r="BF42" s="72">
        <f>SIM_BASE!S77</f>
        <v>1E-3</v>
      </c>
      <c r="BG42" s="72">
        <f>SIM_BASE!T77</f>
        <v>1E-3</v>
      </c>
      <c r="BH42" s="88">
        <f t="shared" si="55"/>
        <v>3.0000000000000001E-3</v>
      </c>
      <c r="BI42" s="75">
        <f>SIM_BASE!U77</f>
        <v>-5386.049704154555</v>
      </c>
      <c r="BJ42" s="72">
        <f t="shared" si="68"/>
        <v>-1.99999999984135E-3</v>
      </c>
      <c r="BK42" s="72">
        <f t="shared" si="69"/>
        <v>-2.0000000000331966E-3</v>
      </c>
      <c r="BL42" s="72">
        <f t="shared" si="70"/>
        <v>-2.0000000000118803E-3</v>
      </c>
      <c r="BM42" s="88">
        <f t="shared" si="56"/>
        <v>-5.9999999998864269E-3</v>
      </c>
      <c r="BN42" s="73">
        <f t="shared" si="71"/>
        <v>-2.0000000013169483E-3</v>
      </c>
      <c r="BO42" s="74">
        <f>SIM_BASE!AB77</f>
        <v>263021.09360512783</v>
      </c>
      <c r="BP42" s="74">
        <f>SIM_BASE!AC77</f>
        <v>112336.00922444448</v>
      </c>
      <c r="BQ42" s="74">
        <f>SIM_BASE!AD77</f>
        <v>92512.024404858967</v>
      </c>
      <c r="BR42" s="95">
        <f t="shared" si="58"/>
        <v>123408.98839700704</v>
      </c>
      <c r="BS42" s="75">
        <f>SIM_BASE!AE77</f>
        <v>9703.0903379153642</v>
      </c>
    </row>
    <row r="43" spans="1:71" x14ac:dyDescent="0.3">
      <c r="A43" s="503">
        <v>2</v>
      </c>
      <c r="B43" s="81">
        <v>2029</v>
      </c>
      <c r="C43" s="81" t="s">
        <v>1</v>
      </c>
      <c r="D43" s="74">
        <v>96.534467053168626</v>
      </c>
      <c r="E43" s="74">
        <v>834.34689697714907</v>
      </c>
      <c r="F43" s="74">
        <v>88.213928996437232</v>
      </c>
      <c r="G43" s="95">
        <v>1019.0952930267549</v>
      </c>
      <c r="H43" s="75">
        <v>557.40136566539468</v>
      </c>
      <c r="I43" s="74">
        <v>93.22491106811259</v>
      </c>
      <c r="J43" s="74">
        <v>873.51504867410858</v>
      </c>
      <c r="K43" s="74">
        <v>86.735540549455948</v>
      </c>
      <c r="L43" s="95">
        <v>1053.475500291677</v>
      </c>
      <c r="M43" s="74">
        <v>51.799329525237752</v>
      </c>
      <c r="N43" s="74">
        <v>8339.1880823518441</v>
      </c>
      <c r="O43" s="98">
        <v>8390.9874118770822</v>
      </c>
      <c r="P43" s="72">
        <v>3.3105559850560717</v>
      </c>
      <c r="Q43" s="72">
        <v>-39.167151696959387</v>
      </c>
      <c r="R43" s="72">
        <v>1.4793884469812495</v>
      </c>
      <c r="S43" s="88">
        <v>-34.37720726492207</v>
      </c>
      <c r="T43" s="73">
        <v>-148.64165102686192</v>
      </c>
      <c r="U43" s="72">
        <v>1E-3</v>
      </c>
      <c r="V43" s="72">
        <v>1E-3</v>
      </c>
      <c r="W43" s="72">
        <v>1E-3</v>
      </c>
      <c r="X43" s="88">
        <v>3.0000000000000001E-3</v>
      </c>
      <c r="Y43" s="75">
        <v>-7684.9423951848257</v>
      </c>
      <c r="Z43" s="72">
        <v>-2.000000000035417E-3</v>
      </c>
      <c r="AA43" s="72">
        <v>-2.0000000001255671E-3</v>
      </c>
      <c r="AB43" s="72">
        <v>-1.9999999999648068E-3</v>
      </c>
      <c r="AC43" s="88">
        <v>-6.000000000125791E-3</v>
      </c>
      <c r="AD43" s="73">
        <v>-1.9999999994979589E-3</v>
      </c>
      <c r="AE43" s="74">
        <v>210245.85299543076</v>
      </c>
      <c r="AF43" s="74">
        <v>94653.181115248401</v>
      </c>
      <c r="AG43" s="74">
        <v>90132.923039071655</v>
      </c>
      <c r="AH43" s="95">
        <v>104510.12560576598</v>
      </c>
      <c r="AI43" s="75">
        <v>10012.244055081095</v>
      </c>
      <c r="AK43" s="503">
        <v>2</v>
      </c>
      <c r="AL43" s="81">
        <v>2029</v>
      </c>
      <c r="AM43" s="81" t="s">
        <v>1</v>
      </c>
      <c r="AN43" s="74">
        <f>SIM_BASE!E84</f>
        <v>12.133712813952211</v>
      </c>
      <c r="AO43" s="74">
        <f>SIM_BASE!F84</f>
        <v>627.33079704509066</v>
      </c>
      <c r="AP43" s="74">
        <f>SIM_BASE!G84</f>
        <v>86.074054470584002</v>
      </c>
      <c r="AQ43" s="95">
        <f t="shared" si="57"/>
        <v>725.53856432962687</v>
      </c>
      <c r="AR43" s="75">
        <f>SIM_BASE!H84</f>
        <v>567.22049584404942</v>
      </c>
      <c r="AS43" s="74">
        <f>SIM_BASE!K84</f>
        <v>71.222781848977135</v>
      </c>
      <c r="AT43" s="74">
        <f>SIM_BASE!L84</f>
        <v>800.10571280723138</v>
      </c>
      <c r="AU43" s="74">
        <f>SIM_BASE!M84</f>
        <v>89.506582191054903</v>
      </c>
      <c r="AV43" s="95">
        <f t="shared" si="52"/>
        <v>960.83507684726339</v>
      </c>
      <c r="AW43" s="74">
        <f>SIM_BASE!N84</f>
        <v>43.376148992447284</v>
      </c>
      <c r="AX43" s="74">
        <f>SIM_BASE!O84</f>
        <v>6541.9879765001315</v>
      </c>
      <c r="AY43" s="98">
        <f t="shared" si="53"/>
        <v>6585.3641254925788</v>
      </c>
      <c r="AZ43" s="72">
        <f>SIM_BASE!V84</f>
        <v>-59.088069035024965</v>
      </c>
      <c r="BA43" s="72">
        <f>SIM_BASE!W84</f>
        <v>-172.77391576214069</v>
      </c>
      <c r="BB43" s="72">
        <f>SIM_BASE!X84</f>
        <v>-3.4315277204709242</v>
      </c>
      <c r="BC43" s="88">
        <f t="shared" si="54"/>
        <v>-235.29351251763657</v>
      </c>
      <c r="BD43" s="73">
        <f>SIM_BASE!Y84</f>
        <v>-6.919838957059893</v>
      </c>
      <c r="BE43" s="72">
        <f>SIM_BASE!R84</f>
        <v>1E-3</v>
      </c>
      <c r="BF43" s="72">
        <f>SIM_BASE!S84</f>
        <v>1E-3</v>
      </c>
      <c r="BG43" s="72">
        <f>SIM_BASE!T84</f>
        <v>1E-3</v>
      </c>
      <c r="BH43" s="88">
        <f t="shared" si="55"/>
        <v>3.0000000000000001E-3</v>
      </c>
      <c r="BI43" s="75">
        <f>SIM_BASE!U84</f>
        <v>-6011.2217906914684</v>
      </c>
      <c r="BJ43" s="72">
        <f t="shared" si="68"/>
        <v>-1.9999999999550369E-3</v>
      </c>
      <c r="BK43" s="72">
        <f t="shared" si="69"/>
        <v>-2.0000000000331966E-3</v>
      </c>
      <c r="BL43" s="72">
        <f t="shared" si="70"/>
        <v>-1.9999999999767972E-3</v>
      </c>
      <c r="BM43" s="88">
        <f t="shared" si="56"/>
        <v>-5.9999999999650307E-3</v>
      </c>
      <c r="BN43" s="73">
        <f t="shared" si="71"/>
        <v>-2.0000000004074536E-3</v>
      </c>
      <c r="BO43" s="74">
        <f>SIM_BASE!AB84</f>
        <v>310887.9296952358</v>
      </c>
      <c r="BP43" s="74">
        <f>SIM_BASE!AC84</f>
        <v>110893.65435250284</v>
      </c>
      <c r="BQ43" s="74">
        <f>SIM_BASE!AD84</f>
        <v>90724.016066200973</v>
      </c>
      <c r="BR43" s="95">
        <f t="shared" si="58"/>
        <v>123839.5110936596</v>
      </c>
      <c r="BS43" s="75">
        <f>SIM_BASE!AE84</f>
        <v>10012.412564569855</v>
      </c>
    </row>
    <row r="44" spans="1:71" ht="16.2" thickBot="1" x14ac:dyDescent="0.35">
      <c r="A44" s="387">
        <v>2</v>
      </c>
      <c r="B44" s="82">
        <v>2030</v>
      </c>
      <c r="C44" s="82" t="s">
        <v>224</v>
      </c>
      <c r="D44" s="78">
        <v>89.796061270709956</v>
      </c>
      <c r="E44" s="78">
        <v>919.87912586109428</v>
      </c>
      <c r="F44" s="78">
        <v>103.11009617466836</v>
      </c>
      <c r="G44" s="96">
        <v>1112.7852833064726</v>
      </c>
      <c r="H44" s="79">
        <v>603.55574520837092</v>
      </c>
      <c r="I44" s="78">
        <v>86.996232064140727</v>
      </c>
      <c r="J44" s="78">
        <v>960.3738015643687</v>
      </c>
      <c r="K44" s="78">
        <v>96.854788098896833</v>
      </c>
      <c r="L44" s="96">
        <v>1144.2248217274062</v>
      </c>
      <c r="M44" s="78">
        <v>51.631362078724948</v>
      </c>
      <c r="N44" s="78">
        <v>9256.8994596456942</v>
      </c>
      <c r="O44" s="99">
        <v>9308.5308217244183</v>
      </c>
      <c r="P44" s="76">
        <v>2.8008292065693632</v>
      </c>
      <c r="Q44" s="76">
        <v>-40.49367570327432</v>
      </c>
      <c r="R44" s="76">
        <v>4.0165325884162719</v>
      </c>
      <c r="S44" s="89">
        <v>-33.676313908288691</v>
      </c>
      <c r="T44" s="77">
        <v>-329.14892455844358</v>
      </c>
      <c r="U44" s="76">
        <v>1E-3</v>
      </c>
      <c r="V44" s="76">
        <v>1E-3</v>
      </c>
      <c r="W44" s="76">
        <v>2.2407754873552728</v>
      </c>
      <c r="X44" s="89">
        <v>2.2427754873552725</v>
      </c>
      <c r="Y44" s="79">
        <v>-8375.824151957604</v>
      </c>
      <c r="Z44" s="72">
        <v>-2.000000000134893E-3</v>
      </c>
      <c r="AA44" s="72">
        <v>-2.0000000001042509E-3</v>
      </c>
      <c r="AB44" s="72">
        <v>-2.000000000021096E-3</v>
      </c>
      <c r="AC44" s="88">
        <v>-6.0000000002602399E-3</v>
      </c>
      <c r="AD44" s="73">
        <v>-2.0000000004074536E-3</v>
      </c>
      <c r="AE44" s="78">
        <v>251354.15174001476</v>
      </c>
      <c r="AF44" s="78">
        <v>93020.315858489426</v>
      </c>
      <c r="AG44" s="78">
        <v>88740.223375961985</v>
      </c>
      <c r="AH44" s="96">
        <v>104696.25525940786</v>
      </c>
      <c r="AI44" s="79">
        <v>10332.917390011236</v>
      </c>
      <c r="AK44" s="387">
        <v>2</v>
      </c>
      <c r="AL44" s="82">
        <v>2030</v>
      </c>
      <c r="AM44" s="82" t="s">
        <v>224</v>
      </c>
      <c r="AN44" s="74">
        <f>SIM_BASE!E91</f>
        <v>11.277825134813297</v>
      </c>
      <c r="AO44" s="74">
        <f>SIM_BASE!F91</f>
        <v>691.51502456288063</v>
      </c>
      <c r="AP44" s="74">
        <f>SIM_BASE!G91</f>
        <v>101.39204704194451</v>
      </c>
      <c r="AQ44" s="95">
        <f t="shared" ref="AQ44" si="72">SUM(AN44:AP44)</f>
        <v>804.18489673963836</v>
      </c>
      <c r="AR44" s="75">
        <f>SIM_BASE!H91</f>
        <v>614.54892864008286</v>
      </c>
      <c r="AS44" s="74">
        <f>SIM_BASE!K91</f>
        <v>66.491506218379854</v>
      </c>
      <c r="AT44" s="74">
        <f>SIM_BASE!L91</f>
        <v>880.11842157584965</v>
      </c>
      <c r="AU44" s="74">
        <f>SIM_BASE!M91</f>
        <v>99.258047006472722</v>
      </c>
      <c r="AV44" s="95">
        <f t="shared" ref="AV44" si="73">SUM(AS44:AU44)</f>
        <v>1045.8679748007023</v>
      </c>
      <c r="AW44" s="74">
        <f>SIM_BASE!N91</f>
        <v>43.191011233550405</v>
      </c>
      <c r="AX44" s="74">
        <f>SIM_BASE!O91</f>
        <v>7380.3570193213345</v>
      </c>
      <c r="AY44" s="98">
        <f t="shared" ref="AY44" si="74">SUM(AW44:AX44)</f>
        <v>7423.5480305548854</v>
      </c>
      <c r="AZ44" s="72">
        <f>SIM_BASE!V91</f>
        <v>-55.212681083566395</v>
      </c>
      <c r="BA44" s="72">
        <f>SIM_BASE!W91</f>
        <v>-188.60239701296885</v>
      </c>
      <c r="BB44" s="72">
        <f>SIM_BASE!X91</f>
        <v>2.135000035471768</v>
      </c>
      <c r="BC44" s="88">
        <f t="shared" ref="BC44" si="75">SUM(AZ44:BB44)</f>
        <v>-241.68007806106348</v>
      </c>
      <c r="BD44" s="73">
        <f>SIM_BASE!Y91</f>
        <v>-192.39355414191314</v>
      </c>
      <c r="BE44" s="72">
        <f>SIM_BASE!R91</f>
        <v>1E-3</v>
      </c>
      <c r="BF44" s="72">
        <f>SIM_BASE!S91</f>
        <v>1E-3</v>
      </c>
      <c r="BG44" s="72">
        <f>SIM_BASE!T91</f>
        <v>1E-3</v>
      </c>
      <c r="BH44" s="88">
        <f t="shared" ref="BH44" si="76">SUM(BE44:BG44)</f>
        <v>3.0000000000000001E-3</v>
      </c>
      <c r="BI44" s="75">
        <f>SIM_BASE!U91</f>
        <v>-6616.6035477728892</v>
      </c>
      <c r="BJ44" s="72">
        <f t="shared" ref="BJ44" si="77">AN44-AS44-AZ44-BE44</f>
        <v>-2.0000000001610943E-3</v>
      </c>
      <c r="BK44" s="72">
        <f t="shared" ref="BK44" si="78">AO44-AT44-BA44-BF44</f>
        <v>-2.0000000001753051E-3</v>
      </c>
      <c r="BL44" s="72">
        <f t="shared" ref="BL44" si="79">AP44-AU44-BB44-BG44</f>
        <v>-1.9999999999821263E-3</v>
      </c>
      <c r="BM44" s="88">
        <f t="shared" ref="BM44" si="80">SUM(BJ44:BL44)</f>
        <v>-6.0000000003185257E-3</v>
      </c>
      <c r="BN44" s="73">
        <f t="shared" ref="BN44" si="81">AR44-AW44-AX44-BD44-BI44</f>
        <v>-1.9999999994979589E-3</v>
      </c>
      <c r="BO44" s="74">
        <f>SIM_BASE!AB91</f>
        <v>371911.59509584086</v>
      </c>
      <c r="BP44" s="74">
        <f>SIM_BASE!AC91</f>
        <v>109008.95861647082</v>
      </c>
      <c r="BQ44" s="74">
        <f>SIM_BASE!AD91</f>
        <v>90206.565318194669</v>
      </c>
      <c r="BR44" s="95">
        <f>SUMPRODUCT(BO44:BQ44,AS44:AU44)/AV44</f>
        <v>123938.66659747812</v>
      </c>
      <c r="BS44" s="75">
        <f>SIM_BASE!AE91</f>
        <v>10333.088720009953</v>
      </c>
    </row>
    <row r="45" spans="1:71" x14ac:dyDescent="0.3">
      <c r="A45" s="352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52">
        <v>3</v>
      </c>
      <c r="AL45" s="80">
        <v>2018</v>
      </c>
      <c r="AM45" s="80" t="s">
        <v>2</v>
      </c>
      <c r="AN45" s="70">
        <f>SIM_BASE!E8</f>
        <v>97.043212590161858</v>
      </c>
      <c r="AO45" s="70">
        <f>SIM_BASE!F8</f>
        <v>82.8119700845659</v>
      </c>
      <c r="AP45" s="70">
        <f>SIM_BASE!G8</f>
        <v>6.4309587999049436</v>
      </c>
      <c r="AQ45" s="94">
        <f t="shared" si="57"/>
        <v>186.2861414746327</v>
      </c>
      <c r="AR45" s="71">
        <f>SIM_BASE!H8</f>
        <v>430.27491767376745</v>
      </c>
      <c r="AS45" s="70">
        <f>SIM_BASE!K8</f>
        <v>101.39359082091111</v>
      </c>
      <c r="AT45" s="70">
        <f>SIM_BASE!L8</f>
        <v>88.501306752352946</v>
      </c>
      <c r="AU45" s="70">
        <f>SIM_BASE!M8</f>
        <v>6.7414787438819701</v>
      </c>
      <c r="AV45" s="94">
        <f t="shared" si="52"/>
        <v>196.63637631714604</v>
      </c>
      <c r="AW45" s="70">
        <f>SIM_BASE!N8</f>
        <v>30.359288697347203</v>
      </c>
      <c r="AX45" s="70">
        <f>SIM_BASE!O8</f>
        <v>1182.1128043851913</v>
      </c>
      <c r="AY45" s="97">
        <f t="shared" si="53"/>
        <v>1212.4720930825385</v>
      </c>
      <c r="AZ45" s="68">
        <f>SIM_BASE!V8</f>
        <v>-4.3493782307492594</v>
      </c>
      <c r="BA45" s="68">
        <f>SIM_BASE!W8</f>
        <v>-5.6883366677870635</v>
      </c>
      <c r="BB45" s="68">
        <f>SIM_BASE!X8</f>
        <v>-0.30951994397702792</v>
      </c>
      <c r="BC45" s="87">
        <f t="shared" si="54"/>
        <v>-10.34723484251335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5"/>
        <v>3.0000000000000001E-3</v>
      </c>
      <c r="BI45" s="71">
        <f>SIM_BASE!U8</f>
        <v>-782.19617540877118</v>
      </c>
      <c r="BJ45" s="68">
        <f t="shared" si="68"/>
        <v>-1.9999999999976694E-3</v>
      </c>
      <c r="BK45" s="68">
        <f t="shared" si="69"/>
        <v>-1.9999999999825704E-3</v>
      </c>
      <c r="BL45" s="68">
        <f t="shared" si="70"/>
        <v>-1.9999999999986131E-3</v>
      </c>
      <c r="BM45" s="87">
        <f t="shared" si="56"/>
        <v>-5.999999999978853E-3</v>
      </c>
      <c r="BN45" s="69">
        <f t="shared" si="71"/>
        <v>-1.9999999998390194E-3</v>
      </c>
      <c r="BO45" s="70">
        <f>SIM_BASE!AB8</f>
        <v>79612.218468440959</v>
      </c>
      <c r="BP45" s="70">
        <f>SIM_BASE!AC8</f>
        <v>80542.744492645958</v>
      </c>
      <c r="BQ45" s="70">
        <f>SIM_BASE!AD8</f>
        <v>85054.8072214719</v>
      </c>
      <c r="BR45" s="94">
        <f t="shared" si="58"/>
        <v>80217.619502212372</v>
      </c>
      <c r="BS45" s="71">
        <f>SIM_BASE!AE8</f>
        <v>7388.6490268978041</v>
      </c>
    </row>
    <row r="46" spans="1:71" x14ac:dyDescent="0.3">
      <c r="A46" s="353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53">
        <v>3</v>
      </c>
      <c r="AL46" s="81">
        <v>2019</v>
      </c>
      <c r="AM46" s="81" t="s">
        <v>2</v>
      </c>
      <c r="AN46" s="74">
        <f>SIM_BASE!E15</f>
        <v>88.97788153303938</v>
      </c>
      <c r="AO46" s="74">
        <f>SIM_BASE!F15</f>
        <v>86.045539796870884</v>
      </c>
      <c r="AP46" s="74">
        <f>SIM_BASE!G15</f>
        <v>6.9900802227500218</v>
      </c>
      <c r="AQ46" s="95">
        <f t="shared" si="57"/>
        <v>182.01350155266027</v>
      </c>
      <c r="AR46" s="75">
        <f>SIM_BASE!H15</f>
        <v>432.69780503465614</v>
      </c>
      <c r="AS46" s="74">
        <f>SIM_BASE!K15</f>
        <v>70.742126075397309</v>
      </c>
      <c r="AT46" s="74">
        <f>SIM_BASE!L15</f>
        <v>84.885357151635816</v>
      </c>
      <c r="AU46" s="74">
        <f>SIM_BASE!M15</f>
        <v>7.6582385038681675</v>
      </c>
      <c r="AV46" s="95">
        <f t="shared" si="52"/>
        <v>163.28572173090129</v>
      </c>
      <c r="AW46" s="74">
        <f>SIM_BASE!N15</f>
        <v>43.620851922051685</v>
      </c>
      <c r="AX46" s="74">
        <f>SIM_BASE!O15</f>
        <v>1303.3985181460012</v>
      </c>
      <c r="AY46" s="98">
        <f t="shared" si="53"/>
        <v>1347.0193700680529</v>
      </c>
      <c r="AZ46" s="72">
        <f>SIM_BASE!V15</f>
        <v>18.236755457642062</v>
      </c>
      <c r="BA46" s="72">
        <f>SIM_BASE!W15</f>
        <v>1.1611826452350664</v>
      </c>
      <c r="BB46" s="72">
        <f>SIM_BASE!X15</f>
        <v>-0.6671582811181439</v>
      </c>
      <c r="BC46" s="88">
        <f t="shared" si="54"/>
        <v>18.730779821758983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5"/>
        <v>3.0000000000000001E-3</v>
      </c>
      <c r="BI46" s="75">
        <f>SIM_BASE!U15</f>
        <v>-914.32056503339686</v>
      </c>
      <c r="BJ46" s="72">
        <f t="shared" si="68"/>
        <v>-1.999999999990564E-3</v>
      </c>
      <c r="BK46" s="72">
        <f t="shared" si="69"/>
        <v>-1.9999999999985576E-3</v>
      </c>
      <c r="BL46" s="72">
        <f t="shared" si="70"/>
        <v>-2.0000000000017773E-3</v>
      </c>
      <c r="BM46" s="88">
        <f t="shared" si="56"/>
        <v>-5.9999999999908989E-3</v>
      </c>
      <c r="BN46" s="73">
        <f t="shared" si="71"/>
        <v>-1.9999999998390194E-3</v>
      </c>
      <c r="BO46" s="74">
        <f>SIM_BASE!AB15</f>
        <v>130424.50110637254</v>
      </c>
      <c r="BP46" s="74">
        <f>SIM_BASE!AC15</f>
        <v>93983.758959076687</v>
      </c>
      <c r="BQ46" s="74">
        <f>SIM_BASE!AD15</f>
        <v>97289.888621749895</v>
      </c>
      <c r="BR46" s="95">
        <f t="shared" si="58"/>
        <v>109926.45546157108</v>
      </c>
      <c r="BS46" s="75">
        <f>SIM_BASE!AE15</f>
        <v>7689.5764887270043</v>
      </c>
    </row>
    <row r="47" spans="1:71" x14ac:dyDescent="0.3">
      <c r="A47" s="353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53">
        <v>3</v>
      </c>
      <c r="AL47" s="81">
        <v>2020</v>
      </c>
      <c r="AM47" s="81" t="s">
        <v>2</v>
      </c>
      <c r="AN47" s="74">
        <f>SIM_BASE!E22</f>
        <v>88.179506663043099</v>
      </c>
      <c r="AO47" s="74">
        <f>SIM_BASE!F22</f>
        <v>92.121955027615243</v>
      </c>
      <c r="AP47" s="74">
        <f>SIM_BASE!G22</f>
        <v>7.0415305404953372</v>
      </c>
      <c r="AQ47" s="95">
        <f t="shared" si="57"/>
        <v>187.34299223115369</v>
      </c>
      <c r="AR47" s="75">
        <f>SIM_BASE!H22</f>
        <v>444.68366902152678</v>
      </c>
      <c r="AS47" s="74">
        <f>SIM_BASE!K22</f>
        <v>82.193837144083588</v>
      </c>
      <c r="AT47" s="74">
        <f>SIM_BASE!L22</f>
        <v>92.014921438759956</v>
      </c>
      <c r="AU47" s="74">
        <f>SIM_BASE!M22</f>
        <v>7.8288579993913805</v>
      </c>
      <c r="AV47" s="95">
        <f t="shared" si="52"/>
        <v>182.0376165822349</v>
      </c>
      <c r="AW47" s="74">
        <f>SIM_BASE!N22</f>
        <v>44.358249675646192</v>
      </c>
      <c r="AX47" s="74">
        <f>SIM_BASE!O22</f>
        <v>1340.1533493815346</v>
      </c>
      <c r="AY47" s="98">
        <f t="shared" si="53"/>
        <v>1384.5115990571808</v>
      </c>
      <c r="AZ47" s="72">
        <f>SIM_BASE!V22</f>
        <v>5.9866695189594852</v>
      </c>
      <c r="BA47" s="72">
        <f>SIM_BASE!W22</f>
        <v>0.10803358885529184</v>
      </c>
      <c r="BB47" s="72">
        <f>SIM_BASE!X22</f>
        <v>-0.78632745889604427</v>
      </c>
      <c r="BC47" s="88">
        <f t="shared" si="54"/>
        <v>5.3083756489187319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5"/>
        <v>3.0000000000000001E-3</v>
      </c>
      <c r="BI47" s="75">
        <f>SIM_BASE!U22</f>
        <v>-939.82693003565419</v>
      </c>
      <c r="BJ47" s="72">
        <f t="shared" si="68"/>
        <v>-1.9999999999736886E-3</v>
      </c>
      <c r="BK47" s="72">
        <f t="shared" si="69"/>
        <v>-2.0000000000042614E-3</v>
      </c>
      <c r="BL47" s="72">
        <f t="shared" si="70"/>
        <v>-1.9999999999990017E-3</v>
      </c>
      <c r="BM47" s="88">
        <f t="shared" si="56"/>
        <v>-5.9999999999769517E-3</v>
      </c>
      <c r="BN47" s="73">
        <f t="shared" si="71"/>
        <v>-1.9999999997253326E-3</v>
      </c>
      <c r="BO47" s="74">
        <f>SIM_BASE!AB22</f>
        <v>129221.99795841331</v>
      </c>
      <c r="BP47" s="74">
        <f>SIM_BASE!AC22</f>
        <v>100927.8788048813</v>
      </c>
      <c r="BQ47" s="74">
        <f>SIM_BASE!AD22</f>
        <v>95245.840302624347</v>
      </c>
      <c r="BR47" s="95">
        <f t="shared" si="58"/>
        <v>113458.90613916292</v>
      </c>
      <c r="BS47" s="75">
        <f>SIM_BASE!AE22</f>
        <v>7908.0656036317578</v>
      </c>
    </row>
    <row r="48" spans="1:71" x14ac:dyDescent="0.3">
      <c r="A48" s="353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53">
        <v>3</v>
      </c>
      <c r="AL48" s="81">
        <v>2021</v>
      </c>
      <c r="AM48" s="81" t="s">
        <v>2</v>
      </c>
      <c r="AN48" s="74">
        <f>SIM_BASE!E29</f>
        <v>90.853983478027473</v>
      </c>
      <c r="AO48" s="74">
        <f>SIM_BASE!F29</f>
        <v>97.476852820203803</v>
      </c>
      <c r="AP48" s="74">
        <f>SIM_BASE!G29</f>
        <v>7.4668501987231082</v>
      </c>
      <c r="AQ48" s="95">
        <f t="shared" si="57"/>
        <v>195.79768649695438</v>
      </c>
      <c r="AR48" s="75">
        <f>SIM_BASE!H29</f>
        <v>461.81701873000532</v>
      </c>
      <c r="AS48" s="74">
        <f>SIM_BASE!K29</f>
        <v>86.013639422399351</v>
      </c>
      <c r="AT48" s="74">
        <f>SIM_BASE!L29</f>
        <v>97.488897332399489</v>
      </c>
      <c r="AU48" s="74">
        <f>SIM_BASE!M29</f>
        <v>8.4932034793046949</v>
      </c>
      <c r="AV48" s="95">
        <f t="shared" si="52"/>
        <v>191.99574023410352</v>
      </c>
      <c r="AW48" s="74">
        <f>SIM_BASE!N29</f>
        <v>47.020446791147393</v>
      </c>
      <c r="AX48" s="74">
        <f>SIM_BASE!O29</f>
        <v>1417.8508409799219</v>
      </c>
      <c r="AY48" s="98">
        <f t="shared" si="53"/>
        <v>1464.8712877710693</v>
      </c>
      <c r="AZ48" s="72">
        <f>SIM_BASE!V29</f>
        <v>4.8413440556280944</v>
      </c>
      <c r="BA48" s="72">
        <f>SIM_BASE!W29</f>
        <v>-1.1044512195696608E-2</v>
      </c>
      <c r="BB48" s="72">
        <f>SIM_BASE!X29</f>
        <v>-1.0253532805815861</v>
      </c>
      <c r="BC48" s="88">
        <f t="shared" si="54"/>
        <v>3.8049462628508115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5"/>
        <v>3.0000000000000001E-3</v>
      </c>
      <c r="BI48" s="75">
        <f>SIM_BASE!U29</f>
        <v>-1003.0532690410639</v>
      </c>
      <c r="BJ48" s="72">
        <f t="shared" si="68"/>
        <v>-1.9999999999719123E-3</v>
      </c>
      <c r="BK48" s="72">
        <f t="shared" si="69"/>
        <v>-1.9999999999896446E-3</v>
      </c>
      <c r="BL48" s="72">
        <f t="shared" si="70"/>
        <v>-2.000000000000556E-3</v>
      </c>
      <c r="BM48" s="88">
        <f t="shared" si="56"/>
        <v>-5.9999999999621129E-3</v>
      </c>
      <c r="BN48" s="73">
        <f t="shared" si="71"/>
        <v>-2.0000000000663931E-3</v>
      </c>
      <c r="BO48" s="74">
        <f>SIM_BASE!AB29</f>
        <v>136689.13449185601</v>
      </c>
      <c r="BP48" s="74">
        <f>SIM_BASE!AC29</f>
        <v>105876.50721173272</v>
      </c>
      <c r="BQ48" s="74">
        <f>SIM_BASE!AD29</f>
        <v>97878.471242831365</v>
      </c>
      <c r="BR48" s="95">
        <f t="shared" si="58"/>
        <v>119326.68721292388</v>
      </c>
      <c r="BS48" s="75">
        <f>SIM_BASE!AE29</f>
        <v>8164.1185621549512</v>
      </c>
    </row>
    <row r="49" spans="1:71" x14ac:dyDescent="0.3">
      <c r="A49" s="353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53">
        <v>3</v>
      </c>
      <c r="AL49" s="81">
        <v>2022</v>
      </c>
      <c r="AM49" s="81" t="s">
        <v>2</v>
      </c>
      <c r="AN49" s="74">
        <f>SIM_BASE!E36</f>
        <v>93.636062118253875</v>
      </c>
      <c r="AO49" s="74">
        <f>SIM_BASE!F36</f>
        <v>102.94874639318121</v>
      </c>
      <c r="AP49" s="74">
        <f>SIM_BASE!G36</f>
        <v>7.989839703242513</v>
      </c>
      <c r="AQ49" s="95">
        <f t="shared" si="57"/>
        <v>204.57464821467761</v>
      </c>
      <c r="AR49" s="75">
        <f>SIM_BASE!H36</f>
        <v>481.28592549707332</v>
      </c>
      <c r="AS49" s="74">
        <f>SIM_BASE!K36</f>
        <v>89.934233103362885</v>
      </c>
      <c r="AT49" s="74">
        <f>SIM_BASE!L36</f>
        <v>104.81795602312044</v>
      </c>
      <c r="AU49" s="74">
        <f>SIM_BASE!M36</f>
        <v>9.2767904444487854</v>
      </c>
      <c r="AV49" s="95">
        <f t="shared" si="52"/>
        <v>204.02897957093211</v>
      </c>
      <c r="AW49" s="74">
        <f>SIM_BASE!N36</f>
        <v>49.232064126092652</v>
      </c>
      <c r="AX49" s="74">
        <f>SIM_BASE!O36</f>
        <v>1492.7396716957646</v>
      </c>
      <c r="AY49" s="98">
        <f t="shared" si="53"/>
        <v>1541.9717358218572</v>
      </c>
      <c r="AZ49" s="72">
        <f>SIM_BASE!V36</f>
        <v>3.7028290148911314</v>
      </c>
      <c r="BA49" s="72">
        <f>SIM_BASE!W36</f>
        <v>-1.8682096299392295</v>
      </c>
      <c r="BB49" s="72">
        <f>SIM_BASE!X36</f>
        <v>-1.2859507412062732</v>
      </c>
      <c r="BC49" s="88">
        <f t="shared" si="54"/>
        <v>0.54866864374562874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5"/>
        <v>3.0000000000000001E-3</v>
      </c>
      <c r="BI49" s="75">
        <f>SIM_BASE!U36</f>
        <v>-1060.6848103247839</v>
      </c>
      <c r="BJ49" s="72">
        <f t="shared" si="68"/>
        <v>-2.0000000001415543E-3</v>
      </c>
      <c r="BK49" s="72">
        <f t="shared" si="69"/>
        <v>-2.000000000005219E-3</v>
      </c>
      <c r="BL49" s="72">
        <f t="shared" si="70"/>
        <v>-1.9999999999992238E-3</v>
      </c>
      <c r="BM49" s="88">
        <f t="shared" si="56"/>
        <v>-6.0000000001459971E-3</v>
      </c>
      <c r="BN49" s="73">
        <f t="shared" si="71"/>
        <v>-1.9999999999527063E-3</v>
      </c>
      <c r="BO49" s="74">
        <f>SIM_BASE!AB36</f>
        <v>144363.11068916638</v>
      </c>
      <c r="BP49" s="74">
        <f>SIM_BASE!AC36</f>
        <v>109041.14900235976</v>
      </c>
      <c r="BQ49" s="74">
        <f>SIM_BASE!AD36</f>
        <v>99667.969619323791</v>
      </c>
      <c r="BR49" s="95">
        <f t="shared" si="58"/>
        <v>124184.58853517628</v>
      </c>
      <c r="BS49" s="75">
        <f>SIM_BASE!AE36</f>
        <v>8427.9174372343496</v>
      </c>
    </row>
    <row r="50" spans="1:71" x14ac:dyDescent="0.3">
      <c r="A50" s="353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53">
        <v>3</v>
      </c>
      <c r="AL50" s="81">
        <v>2023</v>
      </c>
      <c r="AM50" s="81" t="s">
        <v>2</v>
      </c>
      <c r="AN50" s="74">
        <f>SIM_BASE!E43</f>
        <v>96.678430785671637</v>
      </c>
      <c r="AO50" s="74">
        <f>SIM_BASE!F43</f>
        <v>109.08061993147632</v>
      </c>
      <c r="AP50" s="74">
        <f>SIM_BASE!G43</f>
        <v>8.6196115398619426</v>
      </c>
      <c r="AQ50" s="95">
        <f t="shared" si="57"/>
        <v>214.37866225700989</v>
      </c>
      <c r="AR50" s="75">
        <f>SIM_BASE!H43</f>
        <v>503.10101037192942</v>
      </c>
      <c r="AS50" s="74">
        <f>SIM_BASE!K43</f>
        <v>93.765429762744802</v>
      </c>
      <c r="AT50" s="74">
        <f>SIM_BASE!L43</f>
        <v>113.69229059965144</v>
      </c>
      <c r="AU50" s="74">
        <f>SIM_BASE!M43</f>
        <v>10.215382706661996</v>
      </c>
      <c r="AV50" s="95">
        <f t="shared" si="52"/>
        <v>217.67310306905821</v>
      </c>
      <c r="AW50" s="74">
        <f>SIM_BASE!N43</f>
        <v>51.159644819107939</v>
      </c>
      <c r="AX50" s="74">
        <f>SIM_BASE!O43</f>
        <v>1572.4235529702487</v>
      </c>
      <c r="AY50" s="98">
        <f t="shared" si="53"/>
        <v>1623.5831977893567</v>
      </c>
      <c r="AZ50" s="72">
        <f>SIM_BASE!V43</f>
        <v>2.9140010229268394</v>
      </c>
      <c r="BA50" s="72">
        <f>SIM_BASE!W43</f>
        <v>-4.6106706681751426</v>
      </c>
      <c r="BB50" s="72">
        <f>SIM_BASE!X43</f>
        <v>-1.5947711668000524</v>
      </c>
      <c r="BC50" s="88">
        <f t="shared" si="54"/>
        <v>-3.2914408120483554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5"/>
        <v>3.0000000000000001E-3</v>
      </c>
      <c r="BI50" s="75">
        <f>SIM_BASE!U43</f>
        <v>-1120.4811874174272</v>
      </c>
      <c r="BJ50" s="72">
        <f t="shared" si="68"/>
        <v>-2.0000000000043308E-3</v>
      </c>
      <c r="BK50" s="72">
        <f t="shared" si="69"/>
        <v>-1.9999999999799059E-3</v>
      </c>
      <c r="BL50" s="72">
        <f t="shared" si="70"/>
        <v>-2.0000000000014442E-3</v>
      </c>
      <c r="BM50" s="88">
        <f t="shared" si="56"/>
        <v>-5.9999999999856808E-3</v>
      </c>
      <c r="BN50" s="73">
        <f t="shared" si="71"/>
        <v>-1.9999999999527063E-3</v>
      </c>
      <c r="BO50" s="74">
        <f>SIM_BASE!AB43</f>
        <v>152655.39827262852</v>
      </c>
      <c r="BP50" s="74">
        <f>SIM_BASE!AC43</f>
        <v>111105.54981031141</v>
      </c>
      <c r="BQ50" s="74">
        <f>SIM_BASE!AD43</f>
        <v>100549.24323500031</v>
      </c>
      <c r="BR50" s="95">
        <f t="shared" si="58"/>
        <v>128508.26347865396</v>
      </c>
      <c r="BS50" s="75">
        <f>SIM_BASE!AE43</f>
        <v>8686.5965469800012</v>
      </c>
    </row>
    <row r="51" spans="1:71" x14ac:dyDescent="0.3">
      <c r="A51" s="353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53">
        <v>3</v>
      </c>
      <c r="AL51" s="81">
        <v>2024</v>
      </c>
      <c r="AM51" s="81" t="s">
        <v>2</v>
      </c>
      <c r="AN51" s="74">
        <f>SIM_BASE!E50</f>
        <v>99.753328905625608</v>
      </c>
      <c r="AO51" s="74">
        <f>SIM_BASE!F50</f>
        <v>116.20715169097252</v>
      </c>
      <c r="AP51" s="74">
        <f>SIM_BASE!G50</f>
        <v>9.3684297146305866</v>
      </c>
      <c r="AQ51" s="95">
        <f t="shared" si="57"/>
        <v>225.32891031122873</v>
      </c>
      <c r="AR51" s="75">
        <f>SIM_BASE!H50</f>
        <v>528.13105374036024</v>
      </c>
      <c r="AS51" s="74">
        <f>SIM_BASE!K50</f>
        <v>97.832272235976802</v>
      </c>
      <c r="AT51" s="74">
        <f>SIM_BASE!L50</f>
        <v>124.00777866847278</v>
      </c>
      <c r="AU51" s="74">
        <f>SIM_BASE!M50</f>
        <v>11.350754712944989</v>
      </c>
      <c r="AV51" s="95">
        <f t="shared" si="52"/>
        <v>233.19080561739457</v>
      </c>
      <c r="AW51" s="74">
        <f>SIM_BASE!N50</f>
        <v>52.733541057345981</v>
      </c>
      <c r="AX51" s="74">
        <f>SIM_BASE!O50</f>
        <v>1657.6294006049473</v>
      </c>
      <c r="AY51" s="98">
        <f t="shared" si="53"/>
        <v>1710.3629416622932</v>
      </c>
      <c r="AZ51" s="72">
        <f>SIM_BASE!V50</f>
        <v>1.9220566696488073</v>
      </c>
      <c r="BA51" s="72">
        <f>SIM_BASE!W50</f>
        <v>-7.7996269775002895</v>
      </c>
      <c r="BB51" s="72">
        <f>SIM_BASE!X50</f>
        <v>-1.981324998314401</v>
      </c>
      <c r="BC51" s="88">
        <f t="shared" si="54"/>
        <v>-7.8588953061658833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5"/>
        <v>3.0000000000000001E-3</v>
      </c>
      <c r="BI51" s="75">
        <f>SIM_BASE!U50</f>
        <v>-1182.2308879219333</v>
      </c>
      <c r="BJ51" s="72">
        <f t="shared" si="68"/>
        <v>-2.0000000000014442E-3</v>
      </c>
      <c r="BK51" s="72">
        <f t="shared" si="69"/>
        <v>-1.9999999999683596E-3</v>
      </c>
      <c r="BL51" s="72">
        <f t="shared" si="70"/>
        <v>-2.0000000000010001E-3</v>
      </c>
      <c r="BM51" s="88">
        <f t="shared" si="56"/>
        <v>-5.9999999999708039E-3</v>
      </c>
      <c r="BN51" s="73">
        <f t="shared" si="71"/>
        <v>-1.9999999994979589E-3</v>
      </c>
      <c r="BO51" s="74">
        <f>SIM_BASE!AB50</f>
        <v>161070.05687974265</v>
      </c>
      <c r="BP51" s="74">
        <f>SIM_BASE!AC50</f>
        <v>112397.59720435666</v>
      </c>
      <c r="BQ51" s="74">
        <f>SIM_BASE!AD50</f>
        <v>100493.09045286552</v>
      </c>
      <c r="BR51" s="95">
        <f t="shared" si="58"/>
        <v>132238.05436557622</v>
      </c>
      <c r="BS51" s="75">
        <f>SIM_BASE!AE50</f>
        <v>8955.1749382212656</v>
      </c>
    </row>
    <row r="52" spans="1:71" x14ac:dyDescent="0.3">
      <c r="A52" s="353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53">
        <v>3</v>
      </c>
      <c r="AL52" s="81">
        <v>2025</v>
      </c>
      <c r="AM52" s="81" t="s">
        <v>2</v>
      </c>
      <c r="AN52" s="74">
        <f>SIM_BASE!E57</f>
        <v>102.91343106410876</v>
      </c>
      <c r="AO52" s="74">
        <f>SIM_BASE!F57</f>
        <v>124.49945460931744</v>
      </c>
      <c r="AP52" s="74">
        <f>SIM_BASE!G57</f>
        <v>10.27237733072802</v>
      </c>
      <c r="AQ52" s="95">
        <f t="shared" si="57"/>
        <v>237.68526300415425</v>
      </c>
      <c r="AR52" s="75">
        <f>SIM_BASE!H57</f>
        <v>556.68394917124988</v>
      </c>
      <c r="AS52" s="74">
        <f>SIM_BASE!K57</f>
        <v>102.05004418989694</v>
      </c>
      <c r="AT52" s="74">
        <f>SIM_BASE!L57</f>
        <v>135.9816028624399</v>
      </c>
      <c r="AU52" s="74">
        <f>SIM_BASE!M57</f>
        <v>12.703777432739191</v>
      </c>
      <c r="AV52" s="95">
        <f t="shared" si="52"/>
        <v>250.73542448507604</v>
      </c>
      <c r="AW52" s="74">
        <f>SIM_BASE!N57</f>
        <v>53.947054340988188</v>
      </c>
      <c r="AX52" s="74">
        <f>SIM_BASE!O57</f>
        <v>1747.9229161518131</v>
      </c>
      <c r="AY52" s="98">
        <f t="shared" si="53"/>
        <v>1801.8699704928013</v>
      </c>
      <c r="AZ52" s="72">
        <f>SIM_BASE!V57</f>
        <v>0.86438687421182336</v>
      </c>
      <c r="BA52" s="72">
        <f>SIM_BASE!W57</f>
        <v>-11.48114825312244</v>
      </c>
      <c r="BB52" s="72">
        <f>SIM_BASE!X57</f>
        <v>-2.4304001020111707</v>
      </c>
      <c r="BC52" s="88">
        <f t="shared" si="54"/>
        <v>-13.047161480921787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1E-3</v>
      </c>
      <c r="BH52" s="88">
        <f t="shared" si="55"/>
        <v>3.0000000000000001E-3</v>
      </c>
      <c r="BI52" s="75">
        <f>SIM_BASE!U57</f>
        <v>-1245.1850213215519</v>
      </c>
      <c r="BJ52" s="72">
        <f t="shared" si="68"/>
        <v>-1.9999999999966702E-3</v>
      </c>
      <c r="BK52" s="72">
        <f t="shared" si="69"/>
        <v>-2.0000000000207621E-3</v>
      </c>
      <c r="BL52" s="72">
        <f t="shared" si="70"/>
        <v>-2.000000000000334E-3</v>
      </c>
      <c r="BM52" s="88">
        <f t="shared" si="56"/>
        <v>-6.0000000000177663E-3</v>
      </c>
      <c r="BN52" s="73">
        <f t="shared" si="71"/>
        <v>-1.9999999994979589E-3</v>
      </c>
      <c r="BO52" s="74">
        <f>SIM_BASE!AB57</f>
        <v>169704.92768191895</v>
      </c>
      <c r="BP52" s="74">
        <f>SIM_BASE!AC57</f>
        <v>112853.10405554518</v>
      </c>
      <c r="BQ52" s="74">
        <f>SIM_BASE!AD57</f>
        <v>99517.676550735996</v>
      </c>
      <c r="BR52" s="95">
        <f t="shared" si="58"/>
        <v>135316.3073381407</v>
      </c>
      <c r="BS52" s="75">
        <f>SIM_BASE!AE57</f>
        <v>9234.0375086823205</v>
      </c>
    </row>
    <row r="53" spans="1:71" x14ac:dyDescent="0.3">
      <c r="A53" s="353">
        <v>3</v>
      </c>
      <c r="B53" s="81">
        <v>2026</v>
      </c>
      <c r="C53" s="81" t="s">
        <v>2</v>
      </c>
      <c r="D53" s="74">
        <v>115.35730365792493</v>
      </c>
      <c r="E53" s="74">
        <v>128.72660444676444</v>
      </c>
      <c r="F53" s="74">
        <v>11.307312347915357</v>
      </c>
      <c r="G53" s="95">
        <v>255.39122045260473</v>
      </c>
      <c r="H53" s="75">
        <v>579.24653109357087</v>
      </c>
      <c r="I53" s="74">
        <v>135.15284276426354</v>
      </c>
      <c r="J53" s="74">
        <v>166.08303734756089</v>
      </c>
      <c r="K53" s="74">
        <v>14.277541094255755</v>
      </c>
      <c r="L53" s="95">
        <v>315.51342120608018</v>
      </c>
      <c r="M53" s="74">
        <v>43.794614385467263</v>
      </c>
      <c r="N53" s="74">
        <v>1727.025688939656</v>
      </c>
      <c r="O53" s="98">
        <v>1770.8203033251232</v>
      </c>
      <c r="P53" s="72">
        <v>-19.794539106338608</v>
      </c>
      <c r="Q53" s="72">
        <v>-37.355432900796359</v>
      </c>
      <c r="R53" s="72">
        <v>-2.9692287463403972</v>
      </c>
      <c r="S53" s="88">
        <v>-60.119200753475361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-1191.5727722315526</v>
      </c>
      <c r="Z53" s="72">
        <v>-2.0000000000012222E-3</v>
      </c>
      <c r="AA53" s="72">
        <v>-2.00000000009004E-3</v>
      </c>
      <c r="AB53" s="72">
        <v>-2.0000000000007781E-3</v>
      </c>
      <c r="AC53" s="88">
        <v>-6.0000000000920402E-3</v>
      </c>
      <c r="AD53" s="73">
        <v>-1.9999999999527063E-3</v>
      </c>
      <c r="AE53" s="74">
        <v>132366.39849365177</v>
      </c>
      <c r="AF53" s="74">
        <v>96872.710917538192</v>
      </c>
      <c r="AG53" s="74">
        <v>94159.861383710682</v>
      </c>
      <c r="AH53" s="95">
        <v>111953.97097046212</v>
      </c>
      <c r="AI53" s="75">
        <v>9511.8052189137288</v>
      </c>
      <c r="AK53" s="353">
        <v>3</v>
      </c>
      <c r="AL53" s="81">
        <v>2026</v>
      </c>
      <c r="AM53" s="81" t="s">
        <v>2</v>
      </c>
      <c r="AN53" s="74">
        <f>SIM_BASE!E64</f>
        <v>99.020078882997183</v>
      </c>
      <c r="AO53" s="74">
        <f>SIM_BASE!F64</f>
        <v>134.28625858449234</v>
      </c>
      <c r="AP53" s="74">
        <f>SIM_BASE!G64</f>
        <v>11.363289254442671</v>
      </c>
      <c r="AQ53" s="95">
        <f t="shared" ref="AQ53:AQ87" si="82">SUM(AN53:AP53)</f>
        <v>244.66962672193219</v>
      </c>
      <c r="AR53" s="75">
        <f>SIM_BASE!H64</f>
        <v>590.54367606388905</v>
      </c>
      <c r="AS53" s="74">
        <f>SIM_BASE!K64</f>
        <v>99.138179640639635</v>
      </c>
      <c r="AT53" s="74">
        <f>SIM_BASE!L64</f>
        <v>149.92045664406209</v>
      </c>
      <c r="AU53" s="74">
        <f>SIM_BASE!M64</f>
        <v>14.351477722298345</v>
      </c>
      <c r="AV53" s="95">
        <f t="shared" ref="AV53:AV87" si="83">SUM(AS53:AU53)</f>
        <v>263.41011400700006</v>
      </c>
      <c r="AW53" s="74">
        <f>SIM_BASE!N64</f>
        <v>57.464012264116271</v>
      </c>
      <c r="AX53" s="74">
        <f>SIM_BASE!O64</f>
        <v>1828.2529078255261</v>
      </c>
      <c r="AY53" s="98">
        <f t="shared" ref="AY53:AY87" si="84">SUM(AW53:AX53)</f>
        <v>1885.7169200896424</v>
      </c>
      <c r="AZ53" s="72">
        <f>SIM_BASE!V64</f>
        <v>-0.11710075764243323</v>
      </c>
      <c r="BA53" s="72">
        <f>SIM_BASE!W64</f>
        <v>-15.633198059569759</v>
      </c>
      <c r="BB53" s="72">
        <f>SIM_BASE!X64</f>
        <v>-2.9871884678556717</v>
      </c>
      <c r="BC53" s="88">
        <f t="shared" ref="BC53:BC87" si="85">SUM(AZ53:BB53)</f>
        <v>-18.737487285067864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1E-3</v>
      </c>
      <c r="BH53" s="88">
        <f t="shared" ref="BH53:BH87" si="86">SUM(BE53:BG53)</f>
        <v>3.0000000000000001E-3</v>
      </c>
      <c r="BI53" s="75">
        <f>SIM_BASE!U64</f>
        <v>-1295.1722440257533</v>
      </c>
      <c r="BJ53" s="72">
        <f t="shared" si="68"/>
        <v>-2.0000000000187498E-3</v>
      </c>
      <c r="BK53" s="72">
        <f t="shared" si="69"/>
        <v>-1.9999999999816822E-3</v>
      </c>
      <c r="BL53" s="72">
        <f t="shared" si="70"/>
        <v>-2.0000000000016662E-3</v>
      </c>
      <c r="BM53" s="88">
        <f t="shared" ref="BM53:BM87" si="87">SUM(BJ53:BL53)</f>
        <v>-6.0000000000020983E-3</v>
      </c>
      <c r="BN53" s="73">
        <f t="shared" si="71"/>
        <v>-1.9999999999527063E-3</v>
      </c>
      <c r="BO53" s="74">
        <f>SIM_BASE!AB64</f>
        <v>194404.44959392014</v>
      </c>
      <c r="BP53" s="74">
        <f>SIM_BASE!AC64</f>
        <v>113498.23220126732</v>
      </c>
      <c r="BQ53" s="74">
        <f>SIM_BASE!AD64</f>
        <v>98400.546265127821</v>
      </c>
      <c r="BR53" s="95">
        <f t="shared" ref="BR53:BR87" si="88">SUMPRODUCT(BO53:BQ53,AS53:AU53)/AV53</f>
        <v>143125.8759231758</v>
      </c>
      <c r="BS53" s="75">
        <f>SIM_BASE!AE64</f>
        <v>9511.6371914951287</v>
      </c>
    </row>
    <row r="54" spans="1:71" x14ac:dyDescent="0.3">
      <c r="A54" s="353">
        <v>3</v>
      </c>
      <c r="B54" s="81">
        <v>2027</v>
      </c>
      <c r="C54" s="81" t="s">
        <v>2</v>
      </c>
      <c r="D54" s="74">
        <v>110.03633709010921</v>
      </c>
      <c r="E54" s="74">
        <v>139.53328932231159</v>
      </c>
      <c r="F54" s="74">
        <v>12.614675986310775</v>
      </c>
      <c r="G54" s="95">
        <v>262.18430239873157</v>
      </c>
      <c r="H54" s="75">
        <v>617.38583690940823</v>
      </c>
      <c r="I54" s="74">
        <v>130.20102553170742</v>
      </c>
      <c r="J54" s="74">
        <v>184.26788406764047</v>
      </c>
      <c r="K54" s="74">
        <v>16.255949287347637</v>
      </c>
      <c r="L54" s="95">
        <v>330.72485888669547</v>
      </c>
      <c r="M54" s="74">
        <v>46.686151835139185</v>
      </c>
      <c r="N54" s="74">
        <v>1801.5693479039032</v>
      </c>
      <c r="O54" s="98">
        <v>1848.2554997390425</v>
      </c>
      <c r="P54" s="72">
        <v>-20.163688441598186</v>
      </c>
      <c r="Q54" s="72">
        <v>-44.733594745328595</v>
      </c>
      <c r="R54" s="72">
        <v>-3.6402733010368613</v>
      </c>
      <c r="S54" s="88">
        <v>-68.537556487963641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-1230.8686628296343</v>
      </c>
      <c r="Z54" s="72">
        <v>-2.000000000015433E-3</v>
      </c>
      <c r="AA54" s="72">
        <v>-2.0000000002818865E-3</v>
      </c>
      <c r="AB54" s="72">
        <v>-1.9999999999998899E-3</v>
      </c>
      <c r="AC54" s="88">
        <v>-6.0000000002972094E-3</v>
      </c>
      <c r="AD54" s="73">
        <v>-1.9999999999527063E-3</v>
      </c>
      <c r="AE54" s="74">
        <v>152983.91037642985</v>
      </c>
      <c r="AF54" s="74">
        <v>96741.94743204728</v>
      </c>
      <c r="AG54" s="74">
        <v>92350.75944770225</v>
      </c>
      <c r="AH54" s="95">
        <v>118667.66039024515</v>
      </c>
      <c r="AI54" s="75">
        <v>9799.5702227673592</v>
      </c>
      <c r="AK54" s="353">
        <v>3</v>
      </c>
      <c r="AL54" s="81">
        <v>2027</v>
      </c>
      <c r="AM54" s="81" t="s">
        <v>2</v>
      </c>
      <c r="AN54" s="74">
        <f>SIM_BASE!E71</f>
        <v>94.726848295549985</v>
      </c>
      <c r="AO54" s="74">
        <f>SIM_BASE!F71</f>
        <v>145.53451739668012</v>
      </c>
      <c r="AP54" s="74">
        <f>SIM_BASE!G71</f>
        <v>12.675504317166425</v>
      </c>
      <c r="AQ54" s="95">
        <f t="shared" si="82"/>
        <v>252.93687000939653</v>
      </c>
      <c r="AR54" s="75">
        <f>SIM_BASE!H71</f>
        <v>629.33713363108745</v>
      </c>
      <c r="AS54" s="74">
        <f>SIM_BASE!K71</f>
        <v>95.006623440961221</v>
      </c>
      <c r="AT54" s="74">
        <f>SIM_BASE!L71</f>
        <v>166.3812751294312</v>
      </c>
      <c r="AU54" s="74">
        <f>SIM_BASE!M71</f>
        <v>16.345234195974111</v>
      </c>
      <c r="AV54" s="95">
        <f t="shared" si="83"/>
        <v>277.73313276636651</v>
      </c>
      <c r="AW54" s="74">
        <f>SIM_BASE!N71</f>
        <v>61.246349442834813</v>
      </c>
      <c r="AX54" s="74">
        <f>SIM_BASE!O71</f>
        <v>1920.1494348413639</v>
      </c>
      <c r="AY54" s="98">
        <f t="shared" si="84"/>
        <v>1981.3957842841987</v>
      </c>
      <c r="AZ54" s="72">
        <f>SIM_BASE!V71</f>
        <v>-0.27877514541122683</v>
      </c>
      <c r="BA54" s="72">
        <f>SIM_BASE!W71</f>
        <v>-20.845757732750979</v>
      </c>
      <c r="BB54" s="72">
        <f>SIM_BASE!X71</f>
        <v>-3.6687298788076883</v>
      </c>
      <c r="BC54" s="88">
        <f t="shared" si="85"/>
        <v>-24.793262756969895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1E-3</v>
      </c>
      <c r="BH54" s="88">
        <f t="shared" si="86"/>
        <v>3.0000000000000001E-3</v>
      </c>
      <c r="BI54" s="75">
        <f>SIM_BASE!U71</f>
        <v>-1352.0576506531113</v>
      </c>
      <c r="BJ54" s="72">
        <f t="shared" si="68"/>
        <v>-2.0000000000089937E-3</v>
      </c>
      <c r="BK54" s="72">
        <f t="shared" si="69"/>
        <v>-2.0000000001078036E-3</v>
      </c>
      <c r="BL54" s="72">
        <f t="shared" si="70"/>
        <v>-1.9999999999981135E-3</v>
      </c>
      <c r="BM54" s="88">
        <f t="shared" si="87"/>
        <v>-6.0000000001149108E-3</v>
      </c>
      <c r="BN54" s="73">
        <f t="shared" si="71"/>
        <v>-1.9999999999527063E-3</v>
      </c>
      <c r="BO54" s="74">
        <f>SIM_BASE!AB71</f>
        <v>225976.14609255231</v>
      </c>
      <c r="BP54" s="74">
        <f>SIM_BASE!AC71</f>
        <v>113314.3450979504</v>
      </c>
      <c r="BQ54" s="74">
        <f>SIM_BASE!AD71</f>
        <v>96495.155016503821</v>
      </c>
      <c r="BR54" s="95">
        <f t="shared" si="88"/>
        <v>150863.71343773577</v>
      </c>
      <c r="BS54" s="75">
        <f>SIM_BASE!AE71</f>
        <v>9799.3998010221148</v>
      </c>
    </row>
    <row r="55" spans="1:71" x14ac:dyDescent="0.3">
      <c r="A55" s="353">
        <v>3</v>
      </c>
      <c r="B55" s="81">
        <v>2028</v>
      </c>
      <c r="C55" s="81" t="s">
        <v>2</v>
      </c>
      <c r="D55" s="74">
        <v>104.03035950001777</v>
      </c>
      <c r="E55" s="74">
        <v>152.10360721496579</v>
      </c>
      <c r="F55" s="74">
        <v>14.4162940207154</v>
      </c>
      <c r="G55" s="95">
        <v>270.55026073569894</v>
      </c>
      <c r="H55" s="75">
        <v>661.95975069696874</v>
      </c>
      <c r="I55" s="74">
        <v>124.31900755751286</v>
      </c>
      <c r="J55" s="74">
        <v>205.66836969867279</v>
      </c>
      <c r="K55" s="74">
        <v>18.363900689419204</v>
      </c>
      <c r="L55" s="95">
        <v>348.35127794560486</v>
      </c>
      <c r="M55" s="74">
        <v>50.242260912102779</v>
      </c>
      <c r="N55" s="74">
        <v>1896.5255894219881</v>
      </c>
      <c r="O55" s="98">
        <v>1946.7678503340908</v>
      </c>
      <c r="P55" s="72">
        <v>-20.287648057495101</v>
      </c>
      <c r="Q55" s="72">
        <v>-53.563762483706888</v>
      </c>
      <c r="R55" s="72">
        <v>-3.9466066687038026</v>
      </c>
      <c r="S55" s="88">
        <v>-77.798017209905794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-1284.8070996371221</v>
      </c>
      <c r="Z55" s="72">
        <v>-1.9999999999941167E-3</v>
      </c>
      <c r="AA55" s="72">
        <v>-2.0000000001113563E-3</v>
      </c>
      <c r="AB55" s="72">
        <v>-2.0000000000012222E-3</v>
      </c>
      <c r="AC55" s="88">
        <v>-6.0000000001066952E-3</v>
      </c>
      <c r="AD55" s="73">
        <v>-2.00000000018008E-3</v>
      </c>
      <c r="AE55" s="74">
        <v>178863.1791756443</v>
      </c>
      <c r="AF55" s="74">
        <v>96182.519149912594</v>
      </c>
      <c r="AG55" s="74">
        <v>91694.108235216641</v>
      </c>
      <c r="AH55" s="95">
        <v>125452.83768137057</v>
      </c>
      <c r="AI55" s="75">
        <v>10097.87371125376</v>
      </c>
      <c r="AK55" s="353">
        <v>3</v>
      </c>
      <c r="AL55" s="81">
        <v>2028</v>
      </c>
      <c r="AM55" s="81" t="s">
        <v>2</v>
      </c>
      <c r="AN55" s="74">
        <f>SIM_BASE!E78</f>
        <v>89.573349282084621</v>
      </c>
      <c r="AO55" s="74">
        <f>SIM_BASE!F78</f>
        <v>158.62249019615061</v>
      </c>
      <c r="AP55" s="74">
        <f>SIM_BASE!G78</f>
        <v>14.255266040108355</v>
      </c>
      <c r="AQ55" s="95">
        <f t="shared" si="82"/>
        <v>262.45110551834358</v>
      </c>
      <c r="AR55" s="75">
        <f>SIM_BASE!H78</f>
        <v>673.68295051153223</v>
      </c>
      <c r="AS55" s="74">
        <f>SIM_BASE!K78</f>
        <v>90.561729691940684</v>
      </c>
      <c r="AT55" s="74">
        <f>SIM_BASE!L78</f>
        <v>185.65553081991098</v>
      </c>
      <c r="AU55" s="74">
        <f>SIM_BASE!M78</f>
        <v>18.772719955725982</v>
      </c>
      <c r="AV55" s="95">
        <f t="shared" si="83"/>
        <v>294.98998046757765</v>
      </c>
      <c r="AW55" s="74">
        <f>SIM_BASE!N78</f>
        <v>65.045987714350019</v>
      </c>
      <c r="AX55" s="74">
        <f>SIM_BASE!O78</f>
        <v>2022.458534514142</v>
      </c>
      <c r="AY55" s="98">
        <f t="shared" si="84"/>
        <v>2087.5045222284921</v>
      </c>
      <c r="AZ55" s="72">
        <f>SIM_BASE!V78</f>
        <v>-0.98738040985606512</v>
      </c>
      <c r="BA55" s="72">
        <f>SIM_BASE!W78</f>
        <v>-27.032040623760366</v>
      </c>
      <c r="BB55" s="72">
        <f>SIM_BASE!X78</f>
        <v>-4.5164539156176229</v>
      </c>
      <c r="BC55" s="88">
        <f t="shared" si="85"/>
        <v>-32.535874949234056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1E-3</v>
      </c>
      <c r="BH55" s="88">
        <f t="shared" si="86"/>
        <v>3.0000000000000001E-3</v>
      </c>
      <c r="BI55" s="75">
        <f>SIM_BASE!U78</f>
        <v>-1413.8205717169596</v>
      </c>
      <c r="BJ55" s="72">
        <f t="shared" si="68"/>
        <v>-1.9999999999980025E-3</v>
      </c>
      <c r="BK55" s="72">
        <f t="shared" si="69"/>
        <v>-2.0000000000047749E-3</v>
      </c>
      <c r="BL55" s="72">
        <f t="shared" si="70"/>
        <v>-2.0000000000047749E-3</v>
      </c>
      <c r="BM55" s="88">
        <f t="shared" si="87"/>
        <v>-6.0000000000075522E-3</v>
      </c>
      <c r="BN55" s="73">
        <f t="shared" si="71"/>
        <v>-2.00000000018008E-3</v>
      </c>
      <c r="BO55" s="74">
        <f>SIM_BASE!AB78</f>
        <v>264036.02818113368</v>
      </c>
      <c r="BP55" s="74">
        <f>SIM_BASE!AC78</f>
        <v>112414.90381946252</v>
      </c>
      <c r="BQ55" s="74">
        <f>SIM_BASE!AD78</f>
        <v>93851.775239114751</v>
      </c>
      <c r="BR55" s="95">
        <f t="shared" si="88"/>
        <v>157781.15946135428</v>
      </c>
      <c r="BS55" s="75">
        <f>SIM_BASE!AE78</f>
        <v>10097.710379166663</v>
      </c>
    </row>
    <row r="56" spans="1:71" x14ac:dyDescent="0.3">
      <c r="A56" s="503">
        <v>3</v>
      </c>
      <c r="B56" s="81">
        <v>2029</v>
      </c>
      <c r="C56" s="81" t="s">
        <v>2</v>
      </c>
      <c r="D56" s="74">
        <v>97.546552204600246</v>
      </c>
      <c r="E56" s="74">
        <v>166.78647092400595</v>
      </c>
      <c r="F56" s="74">
        <v>16.780419599048386</v>
      </c>
      <c r="G56" s="95">
        <v>281.11344272765461</v>
      </c>
      <c r="H56" s="75">
        <v>712.98718457486189</v>
      </c>
      <c r="I56" s="74">
        <v>117.48190998602739</v>
      </c>
      <c r="J56" s="74">
        <v>230.74902392099446</v>
      </c>
      <c r="K56" s="74">
        <v>20.706825992811048</v>
      </c>
      <c r="L56" s="95">
        <v>368.93775989983288</v>
      </c>
      <c r="M56" s="74">
        <v>53.907688878278933</v>
      </c>
      <c r="N56" s="74">
        <v>2010.2984784356422</v>
      </c>
      <c r="O56" s="98">
        <v>2064.206167313921</v>
      </c>
      <c r="P56" s="72">
        <v>-19.934357781427153</v>
      </c>
      <c r="Q56" s="72">
        <v>-63.96155299698853</v>
      </c>
      <c r="R56" s="72">
        <v>-3.9254063937626631</v>
      </c>
      <c r="S56" s="88">
        <v>-87.82131717217834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-1351.2179827390592</v>
      </c>
      <c r="Z56" s="72">
        <v>-1.999999999990564E-3</v>
      </c>
      <c r="AA56" s="72">
        <v>-1.9999999999763532E-3</v>
      </c>
      <c r="AB56" s="72">
        <v>-1.9999999999985576E-3</v>
      </c>
      <c r="AC56" s="88">
        <v>-5.9999999999654748E-3</v>
      </c>
      <c r="AD56" s="73">
        <v>-2.00000000018008E-3</v>
      </c>
      <c r="AE56" s="74">
        <v>211316.31727045527</v>
      </c>
      <c r="AF56" s="74">
        <v>95091.655439468363</v>
      </c>
      <c r="AG56" s="74">
        <v>91474.081756589061</v>
      </c>
      <c r="AH56" s="95">
        <v>131898.36992243087</v>
      </c>
      <c r="AI56" s="75">
        <v>10407.122566454113</v>
      </c>
      <c r="AK56" s="503">
        <v>3</v>
      </c>
      <c r="AL56" s="81">
        <v>2029</v>
      </c>
      <c r="AM56" s="81" t="s">
        <v>2</v>
      </c>
      <c r="AN56" s="74">
        <f>SIM_BASE!E85</f>
        <v>83.911636041335257</v>
      </c>
      <c r="AO56" s="74">
        <f>SIM_BASE!F85</f>
        <v>173.85809108941177</v>
      </c>
      <c r="AP56" s="74">
        <f>SIM_BASE!G85</f>
        <v>16.375416946716694</v>
      </c>
      <c r="AQ56" s="95">
        <f t="shared" si="82"/>
        <v>274.14514407746373</v>
      </c>
      <c r="AR56" s="75">
        <f>SIM_BASE!H85</f>
        <v>725.30355755851735</v>
      </c>
      <c r="AS56" s="74">
        <f>SIM_BASE!K85</f>
        <v>85.617519027286789</v>
      </c>
      <c r="AT56" s="74">
        <f>SIM_BASE!L85</f>
        <v>208.40517793655167</v>
      </c>
      <c r="AU56" s="74">
        <f>SIM_BASE!M85</f>
        <v>21.455101604965023</v>
      </c>
      <c r="AV56" s="95">
        <f t="shared" si="83"/>
        <v>315.47779856880351</v>
      </c>
      <c r="AW56" s="74">
        <f>SIM_BASE!N85</f>
        <v>69.629742213341459</v>
      </c>
      <c r="AX56" s="74">
        <f>SIM_BASE!O85</f>
        <v>2151.3084391034577</v>
      </c>
      <c r="AY56" s="98">
        <f t="shared" si="84"/>
        <v>2220.9381813167993</v>
      </c>
      <c r="AZ56" s="72">
        <f>SIM_BASE!V85</f>
        <v>-1.704882985951562</v>
      </c>
      <c r="BA56" s="72">
        <f>SIM_BASE!W85</f>
        <v>-34.546086847139847</v>
      </c>
      <c r="BB56" s="72">
        <f>SIM_BASE!X85</f>
        <v>-5.0786846582483305</v>
      </c>
      <c r="BC56" s="88">
        <f t="shared" si="85"/>
        <v>-41.329654491339738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1E-3</v>
      </c>
      <c r="BH56" s="88">
        <f t="shared" si="86"/>
        <v>3.0000000000000001E-3</v>
      </c>
      <c r="BI56" s="75">
        <f>SIM_BASE!U85</f>
        <v>-1495.6336237582821</v>
      </c>
      <c r="BJ56" s="72">
        <f t="shared" si="68"/>
        <v>-1.999999999970802E-3</v>
      </c>
      <c r="BK56" s="72">
        <f t="shared" si="69"/>
        <v>-2.0000000000474074E-3</v>
      </c>
      <c r="BL56" s="72">
        <f t="shared" si="70"/>
        <v>-1.9999999999985576E-3</v>
      </c>
      <c r="BM56" s="88">
        <f t="shared" si="87"/>
        <v>-6.0000000000167671E-3</v>
      </c>
      <c r="BN56" s="73">
        <f t="shared" si="71"/>
        <v>-1.9999999997253326E-3</v>
      </c>
      <c r="BO56" s="74">
        <f>SIM_BASE!AB85</f>
        <v>311764.15149950673</v>
      </c>
      <c r="BP56" s="74">
        <f>SIM_BASE!AC85</f>
        <v>110986.50673754109</v>
      </c>
      <c r="BQ56" s="74">
        <f>SIM_BASE!AD85</f>
        <v>92066.996066200954</v>
      </c>
      <c r="BR56" s="95">
        <f t="shared" si="88"/>
        <v>164188.86795926455</v>
      </c>
      <c r="BS56" s="75">
        <f>SIM_BASE!AE85</f>
        <v>10406.956385430745</v>
      </c>
    </row>
    <row r="57" spans="1:71" ht="16.2" thickBot="1" x14ac:dyDescent="0.35">
      <c r="A57" s="387">
        <v>3</v>
      </c>
      <c r="B57" s="82">
        <v>2030</v>
      </c>
      <c r="C57" s="82" t="s">
        <v>2</v>
      </c>
      <c r="D57" s="78">
        <v>90.68362860215386</v>
      </c>
      <c r="E57" s="78">
        <v>183.96644574059201</v>
      </c>
      <c r="F57" s="78">
        <v>19.619535277361486</v>
      </c>
      <c r="G57" s="96">
        <v>294.26960962010736</v>
      </c>
      <c r="H57" s="79">
        <v>771.55666327210383</v>
      </c>
      <c r="I57" s="78">
        <v>109.9553125916908</v>
      </c>
      <c r="J57" s="78">
        <v>260.26609789921503</v>
      </c>
      <c r="K57" s="78">
        <v>23.635067865777756</v>
      </c>
      <c r="L57" s="96">
        <v>393.85647835668362</v>
      </c>
      <c r="M57" s="78">
        <v>57.891099926727051</v>
      </c>
      <c r="N57" s="78">
        <v>2146.5630419476338</v>
      </c>
      <c r="O57" s="99">
        <v>2204.4541418743606</v>
      </c>
      <c r="P57" s="76">
        <v>-19.270683989536987</v>
      </c>
      <c r="Q57" s="76">
        <v>-76.298652158622957</v>
      </c>
      <c r="R57" s="76">
        <v>-4.0145325884162713</v>
      </c>
      <c r="S57" s="89">
        <v>-99.583868736576221</v>
      </c>
      <c r="T57" s="77">
        <v>1E-3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-1432.8964786022568</v>
      </c>
      <c r="Z57" s="72">
        <v>-1.9999999999514842E-3</v>
      </c>
      <c r="AA57" s="72">
        <v>-2.0000000000616183E-3</v>
      </c>
      <c r="AB57" s="72">
        <v>-1.9999999999994458E-3</v>
      </c>
      <c r="AC57" s="88">
        <v>-6.0000000000125482E-3</v>
      </c>
      <c r="AD57" s="73">
        <v>-2.00000000018008E-3</v>
      </c>
      <c r="AE57" s="78">
        <v>252311.48208678645</v>
      </c>
      <c r="AF57" s="78">
        <v>93479.032353016519</v>
      </c>
      <c r="AG57" s="78">
        <v>90083.20337596201</v>
      </c>
      <c r="AH57" s="96">
        <v>137617.473554697</v>
      </c>
      <c r="AI57" s="79">
        <v>10727.719411631606</v>
      </c>
      <c r="AK57" s="387">
        <v>3</v>
      </c>
      <c r="AL57" s="82">
        <v>2030</v>
      </c>
      <c r="AM57" s="82" t="s">
        <v>2</v>
      </c>
      <c r="AN57" s="74">
        <f>SIM_BASE!E92</f>
        <v>77.962971799281377</v>
      </c>
      <c r="AO57" s="74">
        <f>SIM_BASE!F92</f>
        <v>191.72305554465456</v>
      </c>
      <c r="AP57" s="74">
        <f>SIM_BASE!G92</f>
        <v>19.292540385157604</v>
      </c>
      <c r="AQ57" s="95">
        <f t="shared" ref="AQ57" si="89">SUM(AN57:AP57)</f>
        <v>288.97856772909358</v>
      </c>
      <c r="AR57" s="75">
        <f>SIM_BASE!H92</f>
        <v>785.33262983367842</v>
      </c>
      <c r="AS57" s="74">
        <f>SIM_BASE!K92</f>
        <v>80.14623102087225</v>
      </c>
      <c r="AT57" s="74">
        <f>SIM_BASE!L92</f>
        <v>235.18699219235054</v>
      </c>
      <c r="AU57" s="74">
        <f>SIM_BASE!M92</f>
        <v>24.300725687388798</v>
      </c>
      <c r="AV57" s="95">
        <f t="shared" ref="AV57" si="90">SUM(AS57:AU57)</f>
        <v>339.63394890061164</v>
      </c>
      <c r="AW57" s="74">
        <f>SIM_BASE!N92</f>
        <v>75.080094310190233</v>
      </c>
      <c r="AX57" s="74">
        <f>SIM_BASE!O92</f>
        <v>2316.6036124244883</v>
      </c>
      <c r="AY57" s="98">
        <f t="shared" ref="AY57" si="91">SUM(AW57:AX57)</f>
        <v>2391.6837067346787</v>
      </c>
      <c r="AZ57" s="72">
        <f>SIM_BASE!V92</f>
        <v>-2.1822592215908831</v>
      </c>
      <c r="BA57" s="72">
        <f>SIM_BASE!W92</f>
        <v>-43.462936647696289</v>
      </c>
      <c r="BB57" s="72">
        <f>SIM_BASE!X92</f>
        <v>-5.0071853022311945</v>
      </c>
      <c r="BC57" s="88">
        <f t="shared" ref="BC57" si="92">SUM(AZ57:BB57)</f>
        <v>-50.652381171518364</v>
      </c>
      <c r="BD57" s="73">
        <f>SIM_BASE!Y92</f>
        <v>1E-3</v>
      </c>
      <c r="BE57" s="72">
        <f>SIM_BASE!R92</f>
        <v>1E-3</v>
      </c>
      <c r="BF57" s="72">
        <f>SIM_BASE!S92</f>
        <v>1E-3</v>
      </c>
      <c r="BG57" s="72">
        <f>SIM_BASE!T92</f>
        <v>1E-3</v>
      </c>
      <c r="BH57" s="88">
        <f t="shared" ref="BH57" si="93">SUM(BE57:BG57)</f>
        <v>3.0000000000000001E-3</v>
      </c>
      <c r="BI57" s="75">
        <f>SIM_BASE!U92</f>
        <v>-1606.3500769010004</v>
      </c>
      <c r="BJ57" s="72">
        <f t="shared" ref="BJ57" si="94">AN57-AS57-AZ57-BE57</f>
        <v>-1.9999999999901199E-3</v>
      </c>
      <c r="BK57" s="72">
        <f t="shared" ref="BK57" si="95">AO57-AT57-BA57-BF57</f>
        <v>-1.9999999996992415E-3</v>
      </c>
      <c r="BL57" s="72">
        <f t="shared" ref="BL57" si="96">AP57-AU57-BB57-BG57</f>
        <v>-1.9999999999994458E-3</v>
      </c>
      <c r="BM57" s="88">
        <f t="shared" ref="BM57" si="97">SUM(BJ57:BL57)</f>
        <v>-5.9999999996888072E-3</v>
      </c>
      <c r="BN57" s="73">
        <f t="shared" ref="BN57" si="98">AR57-AW57-AX57-BD57-BI57</f>
        <v>-1.9999999997253326E-3</v>
      </c>
      <c r="BO57" s="74">
        <f>SIM_BASE!AB92</f>
        <v>372598.51309497759</v>
      </c>
      <c r="BP57" s="74">
        <f>SIM_BASE!AC92</f>
        <v>109128.90907721478</v>
      </c>
      <c r="BQ57" s="74">
        <f>SIM_BASE!AD92</f>
        <v>91551.158157807615</v>
      </c>
      <c r="BR57" s="95">
        <f t="shared" ref="BR57" si="99">SUMPRODUCT(BO57:BQ57,AS57:AU57)/AV57</f>
        <v>170044.32614391641</v>
      </c>
      <c r="BS57" s="75">
        <f>SIM_BASE!AE92</f>
        <v>10727.548777377404</v>
      </c>
    </row>
    <row r="58" spans="1:71" x14ac:dyDescent="0.3">
      <c r="A58" s="352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52">
        <v>4</v>
      </c>
      <c r="AL58" s="80">
        <v>2018</v>
      </c>
      <c r="AM58" s="80" t="s">
        <v>3</v>
      </c>
      <c r="AN58" s="70">
        <f>SIM_BASE!E9</f>
        <v>58.980659438163073</v>
      </c>
      <c r="AO58" s="70">
        <f>SIM_BASE!F9</f>
        <v>58.138044069897646</v>
      </c>
      <c r="AP58" s="70">
        <f>SIM_BASE!G9</f>
        <v>5.147024208227311</v>
      </c>
      <c r="AQ58" s="94">
        <f t="shared" si="82"/>
        <v>122.26572771628803</v>
      </c>
      <c r="AR58" s="71">
        <f>SIM_BASE!H9</f>
        <v>312.95915404968321</v>
      </c>
      <c r="AS58" s="70">
        <f>SIM_BASE!K9</f>
        <v>73.273547456555377</v>
      </c>
      <c r="AT58" s="70">
        <f>SIM_BASE!L9</f>
        <v>76.396207453537386</v>
      </c>
      <c r="AU58" s="70">
        <f>SIM_BASE!M9</f>
        <v>6.6961833275157927</v>
      </c>
      <c r="AV58" s="94">
        <f t="shared" si="83"/>
        <v>156.36593823760856</v>
      </c>
      <c r="AW58" s="70">
        <f>SIM_BASE!N9</f>
        <v>18.402649429558512</v>
      </c>
      <c r="AX58" s="70">
        <f>SIM_BASE!O9</f>
        <v>787.98536010137286</v>
      </c>
      <c r="AY58" s="97">
        <f t="shared" si="84"/>
        <v>806.38800953093141</v>
      </c>
      <c r="AZ58" s="68">
        <f>SIM_BASE!V9</f>
        <v>-14.291888018392322</v>
      </c>
      <c r="BA58" s="68">
        <f>SIM_BASE!W9</f>
        <v>-18.257163383639742</v>
      </c>
      <c r="BB58" s="68">
        <f>SIM_BASE!X9</f>
        <v>-1.5481591192884818</v>
      </c>
      <c r="BC58" s="87">
        <f t="shared" si="85"/>
        <v>-34.097210521320548</v>
      </c>
      <c r="BD58" s="69">
        <f>SIM_BASE!Y9</f>
        <v>-172.07495484263623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86"/>
        <v>3.0000000000000001E-3</v>
      </c>
      <c r="BI58" s="71">
        <f>SIM_BASE!U9</f>
        <v>-321.35190063861182</v>
      </c>
      <c r="BJ58" s="68">
        <f t="shared" si="68"/>
        <v>-1.9999999999816822E-3</v>
      </c>
      <c r="BK58" s="68">
        <f t="shared" si="69"/>
        <v>-1.9999999999976694E-3</v>
      </c>
      <c r="BL58" s="68">
        <f t="shared" si="70"/>
        <v>-1.9999999999998899E-3</v>
      </c>
      <c r="BM58" s="87">
        <f t="shared" si="87"/>
        <v>-5.9999999999792416E-3</v>
      </c>
      <c r="BN58" s="69">
        <f t="shared" si="71"/>
        <v>-2.0000000000663931E-3</v>
      </c>
      <c r="BO58" s="70">
        <f>SIM_BASE!AB9</f>
        <v>82538.734659109075</v>
      </c>
      <c r="BP58" s="70">
        <f>SIM_BASE!AC9</f>
        <v>80704.781294578162</v>
      </c>
      <c r="BQ58" s="70">
        <f>SIM_BASE!AD9</f>
        <v>83859.823210750415</v>
      </c>
      <c r="BR58" s="94">
        <f t="shared" si="88"/>
        <v>81699.28821672796</v>
      </c>
      <c r="BS58" s="71">
        <f>SIM_BASE!AE9</f>
        <v>7730.6606277324245</v>
      </c>
    </row>
    <row r="59" spans="1:71" x14ac:dyDescent="0.3">
      <c r="A59" s="353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53">
        <v>4</v>
      </c>
      <c r="AL59" s="81">
        <v>2019</v>
      </c>
      <c r="AM59" s="81" t="s">
        <v>3</v>
      </c>
      <c r="AN59" s="74">
        <f>SIM_BASE!E16</f>
        <v>56.227619212906419</v>
      </c>
      <c r="AO59" s="74">
        <f>SIM_BASE!F16</f>
        <v>61.765483686819081</v>
      </c>
      <c r="AP59" s="74">
        <f>SIM_BASE!G16</f>
        <v>5.6370131198299109</v>
      </c>
      <c r="AQ59" s="95">
        <f t="shared" si="82"/>
        <v>123.63011601955542</v>
      </c>
      <c r="AR59" s="75">
        <f>SIM_BASE!H16</f>
        <v>324.34996265621652</v>
      </c>
      <c r="AS59" s="74">
        <f>SIM_BASE!K16</f>
        <v>54.992766645501142</v>
      </c>
      <c r="AT59" s="74">
        <f>SIM_BASE!L16</f>
        <v>71.205376475501339</v>
      </c>
      <c r="AU59" s="74">
        <f>SIM_BASE!M16</f>
        <v>7.3602875061303727</v>
      </c>
      <c r="AV59" s="95">
        <f t="shared" si="83"/>
        <v>133.55843062713285</v>
      </c>
      <c r="AW59" s="74">
        <f>SIM_BASE!N16</f>
        <v>21.555058564941088</v>
      </c>
      <c r="AX59" s="74">
        <f>SIM_BASE!O16</f>
        <v>896.68882291634577</v>
      </c>
      <c r="AY59" s="98">
        <f t="shared" si="84"/>
        <v>918.24388148128685</v>
      </c>
      <c r="AZ59" s="72">
        <f>SIM_BASE!V16</f>
        <v>1.2358525674052769</v>
      </c>
      <c r="BA59" s="72">
        <f>SIM_BASE!W16</f>
        <v>-9.4388927886822529</v>
      </c>
      <c r="BB59" s="72">
        <f>SIM_BASE!X16</f>
        <v>-1.7222743863004615</v>
      </c>
      <c r="BC59" s="88">
        <f t="shared" si="85"/>
        <v>-9.9253146075774374</v>
      </c>
      <c r="BD59" s="73">
        <f>SIM_BASE!Y16</f>
        <v>-50.326686686708946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86"/>
        <v>3.0000000000000001E-3</v>
      </c>
      <c r="BI59" s="75">
        <f>SIM_BASE!U16</f>
        <v>-543.56523213836135</v>
      </c>
      <c r="BJ59" s="72">
        <f t="shared" si="68"/>
        <v>-2.000000000000334E-3</v>
      </c>
      <c r="BK59" s="72">
        <f t="shared" si="69"/>
        <v>-2.0000000000047749E-3</v>
      </c>
      <c r="BL59" s="72">
        <f t="shared" si="70"/>
        <v>-2.000000000000334E-3</v>
      </c>
      <c r="BM59" s="88">
        <f t="shared" si="87"/>
        <v>-6.0000000000054428E-3</v>
      </c>
      <c r="BN59" s="73">
        <f t="shared" si="71"/>
        <v>-2.0000000000663931E-3</v>
      </c>
      <c r="BO59" s="74">
        <f>SIM_BASE!AB16</f>
        <v>127708.89482044058</v>
      </c>
      <c r="BP59" s="74">
        <f>SIM_BASE!AC16</f>
        <v>95193.98806826846</v>
      </c>
      <c r="BQ59" s="74">
        <f>SIM_BASE!AD16</f>
        <v>96527.324351339252</v>
      </c>
      <c r="BR59" s="95">
        <f t="shared" si="88"/>
        <v>108655.50007815081</v>
      </c>
      <c r="BS59" s="75">
        <f>SIM_BASE!AE16</f>
        <v>8031.2038308948459</v>
      </c>
    </row>
    <row r="60" spans="1:71" x14ac:dyDescent="0.3">
      <c r="A60" s="353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53">
        <v>4</v>
      </c>
      <c r="AL60" s="81">
        <v>2020</v>
      </c>
      <c r="AM60" s="81" t="s">
        <v>3</v>
      </c>
      <c r="AN60" s="74">
        <f>SIM_BASE!E23</f>
        <v>57.227611717340253</v>
      </c>
      <c r="AO60" s="74">
        <f>SIM_BASE!F23</f>
        <v>65.982487481217504</v>
      </c>
      <c r="AP60" s="74">
        <f>SIM_BASE!G23</f>
        <v>5.6688732759820848</v>
      </c>
      <c r="AQ60" s="95">
        <f t="shared" si="82"/>
        <v>128.87897247453984</v>
      </c>
      <c r="AR60" s="75">
        <f>SIM_BASE!H23</f>
        <v>334.44031738061284</v>
      </c>
      <c r="AS60" s="74">
        <f>SIM_BASE!K23</f>
        <v>60.441482595491053</v>
      </c>
      <c r="AT60" s="74">
        <f>SIM_BASE!L23</f>
        <v>75.955189951516886</v>
      </c>
      <c r="AU60" s="74">
        <f>SIM_BASE!M23</f>
        <v>7.4049931320855267</v>
      </c>
      <c r="AV60" s="95">
        <f t="shared" si="83"/>
        <v>143.80166567909347</v>
      </c>
      <c r="AW60" s="74">
        <f>SIM_BASE!N23</f>
        <v>21.719325703807609</v>
      </c>
      <c r="AX60" s="74">
        <f>SIM_BASE!O23</f>
        <v>940.88815988508907</v>
      </c>
      <c r="AY60" s="98">
        <f t="shared" si="84"/>
        <v>962.60748558889668</v>
      </c>
      <c r="AZ60" s="72">
        <f>SIM_BASE!V23</f>
        <v>-3.212870878150802</v>
      </c>
      <c r="BA60" s="72">
        <f>SIM_BASE!W23</f>
        <v>-9.9717024702993982</v>
      </c>
      <c r="BB60" s="72">
        <f>SIM_BASE!X23</f>
        <v>-1.7351198561034313</v>
      </c>
      <c r="BC60" s="88">
        <f t="shared" si="85"/>
        <v>-14.919693204553631</v>
      </c>
      <c r="BD60" s="73">
        <f>SIM_BASE!Y23</f>
        <v>-36.298255114733266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86"/>
        <v>3.0000000000000001E-3</v>
      </c>
      <c r="BI60" s="75">
        <f>SIM_BASE!U23</f>
        <v>-591.86691309355069</v>
      </c>
      <c r="BJ60" s="72">
        <f t="shared" si="68"/>
        <v>-1.9999999999981135E-3</v>
      </c>
      <c r="BK60" s="72">
        <f t="shared" si="69"/>
        <v>-1.9999999999834586E-3</v>
      </c>
      <c r="BL60" s="72">
        <f t="shared" si="70"/>
        <v>-2.000000000010548E-3</v>
      </c>
      <c r="BM60" s="88">
        <f t="shared" si="87"/>
        <v>-5.9999999999921201E-3</v>
      </c>
      <c r="BN60" s="73">
        <f t="shared" si="71"/>
        <v>-1.9999999998390194E-3</v>
      </c>
      <c r="BO60" s="74">
        <f>SIM_BASE!AB23</f>
        <v>132085.184088537</v>
      </c>
      <c r="BP60" s="74">
        <f>SIM_BASE!AC23</f>
        <v>102209.28792734069</v>
      </c>
      <c r="BQ60" s="74">
        <f>SIM_BASE!AD23</f>
        <v>94484.002380458827</v>
      </c>
      <c r="BR60" s="95">
        <f t="shared" si="88"/>
        <v>114368.65870497552</v>
      </c>
      <c r="BS60" s="75">
        <f>SIM_BASE!AE23</f>
        <v>8249.6304758735569</v>
      </c>
    </row>
    <row r="61" spans="1:71" x14ac:dyDescent="0.3">
      <c r="A61" s="353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53">
        <v>4</v>
      </c>
      <c r="AL61" s="81">
        <v>2021</v>
      </c>
      <c r="AM61" s="81" t="s">
        <v>3</v>
      </c>
      <c r="AN61" s="74">
        <f>SIM_BASE!E30</f>
        <v>58.969657611738398</v>
      </c>
      <c r="AO61" s="74">
        <f>SIM_BASE!F30</f>
        <v>69.157794897664076</v>
      </c>
      <c r="AP61" s="74">
        <f>SIM_BASE!G30</f>
        <v>6.0173277050712128</v>
      </c>
      <c r="AQ61" s="95">
        <f t="shared" si="82"/>
        <v>134.14478021447368</v>
      </c>
      <c r="AR61" s="75">
        <f>SIM_BASE!H30</f>
        <v>348.01934799225461</v>
      </c>
      <c r="AS61" s="74">
        <f>SIM_BASE!K30</f>
        <v>62.18322726660049</v>
      </c>
      <c r="AT61" s="74">
        <f>SIM_BASE!L30</f>
        <v>79.696520129499646</v>
      </c>
      <c r="AU61" s="74">
        <f>SIM_BASE!M30</f>
        <v>7.8557003768387519</v>
      </c>
      <c r="AV61" s="95">
        <f t="shared" si="83"/>
        <v>149.73544777293887</v>
      </c>
      <c r="AW61" s="74">
        <f>SIM_BASE!N30</f>
        <v>22.074307260969729</v>
      </c>
      <c r="AX61" s="74">
        <f>SIM_BASE!O30</f>
        <v>989.97147564506122</v>
      </c>
      <c r="AY61" s="98">
        <f t="shared" si="84"/>
        <v>1012.0457829060309</v>
      </c>
      <c r="AZ61" s="72">
        <f>SIM_BASE!V30</f>
        <v>-3.2125696548620994</v>
      </c>
      <c r="BA61" s="72">
        <f>SIM_BASE!W30</f>
        <v>-10.537725231835573</v>
      </c>
      <c r="BB61" s="72">
        <f>SIM_BASE!X30</f>
        <v>-1.8373726717675729</v>
      </c>
      <c r="BC61" s="88">
        <f t="shared" si="85"/>
        <v>-15.587667558465245</v>
      </c>
      <c r="BD61" s="73">
        <f>SIM_BASE!Y30</f>
        <v>-29.459579415972712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86"/>
        <v>3.0000000000000001E-3</v>
      </c>
      <c r="BI61" s="75">
        <f>SIM_BASE!U30</f>
        <v>-634.56485549780359</v>
      </c>
      <c r="BJ61" s="72">
        <f t="shared" si="68"/>
        <v>-1.9999999999918963E-3</v>
      </c>
      <c r="BK61" s="72">
        <f t="shared" si="69"/>
        <v>-1.9999999999976694E-3</v>
      </c>
      <c r="BL61" s="72">
        <f t="shared" si="70"/>
        <v>-1.9999999999661391E-3</v>
      </c>
      <c r="BM61" s="88">
        <f t="shared" si="87"/>
        <v>-5.9999999999557048E-3</v>
      </c>
      <c r="BN61" s="73">
        <f t="shared" si="71"/>
        <v>-1.9999999999527063E-3</v>
      </c>
      <c r="BO61" s="74">
        <f>SIM_BASE!AB30</f>
        <v>139541.64283063059</v>
      </c>
      <c r="BP61" s="74">
        <f>SIM_BASE!AC30</f>
        <v>105724.09359382138</v>
      </c>
      <c r="BQ61" s="74">
        <f>SIM_BASE!AD30</f>
        <v>97116.900768190608</v>
      </c>
      <c r="BR61" s="95">
        <f t="shared" si="88"/>
        <v>119316.52512649655</v>
      </c>
      <c r="BS61" s="75">
        <f>SIM_BASE!AE30</f>
        <v>8505.6259350381606</v>
      </c>
    </row>
    <row r="62" spans="1:71" x14ac:dyDescent="0.3">
      <c r="A62" s="353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53">
        <v>4</v>
      </c>
      <c r="AL62" s="81">
        <v>2022</v>
      </c>
      <c r="AM62" s="81" t="s">
        <v>3</v>
      </c>
      <c r="AN62" s="74">
        <f>SIM_BASE!E37</f>
        <v>60.74832648720443</v>
      </c>
      <c r="AO62" s="74">
        <f>SIM_BASE!F37</f>
        <v>72.933706795250814</v>
      </c>
      <c r="AP62" s="74">
        <f>SIM_BASE!G37</f>
        <v>6.4405850493654251</v>
      </c>
      <c r="AQ62" s="95">
        <f t="shared" si="82"/>
        <v>140.12261833182069</v>
      </c>
      <c r="AR62" s="75">
        <f>SIM_BASE!H37</f>
        <v>363.59778622684047</v>
      </c>
      <c r="AS62" s="74">
        <f>SIM_BASE!K37</f>
        <v>63.979184444667567</v>
      </c>
      <c r="AT62" s="74">
        <f>SIM_BASE!L37</f>
        <v>83.976988086498238</v>
      </c>
      <c r="AU62" s="74">
        <f>SIM_BASE!M37</f>
        <v>8.4019216150971268</v>
      </c>
      <c r="AV62" s="95">
        <f t="shared" si="83"/>
        <v>156.35809414626294</v>
      </c>
      <c r="AW62" s="74">
        <f>SIM_BASE!N37</f>
        <v>22.355092551715185</v>
      </c>
      <c r="AX62" s="74">
        <f>SIM_BASE!O37</f>
        <v>1042.4297500721993</v>
      </c>
      <c r="AY62" s="98">
        <f t="shared" si="84"/>
        <v>1064.7848426239145</v>
      </c>
      <c r="AZ62" s="72">
        <f>SIM_BASE!V37</f>
        <v>-3.2298579574631376</v>
      </c>
      <c r="BA62" s="72">
        <f>SIM_BASE!W37</f>
        <v>-11.042281291247422</v>
      </c>
      <c r="BB62" s="72">
        <f>SIM_BASE!X37</f>
        <v>-1.9603365657317076</v>
      </c>
      <c r="BC62" s="88">
        <f t="shared" si="85"/>
        <v>-16.232475814442267</v>
      </c>
      <c r="BD62" s="73">
        <f>SIM_BASE!Y37</f>
        <v>-27.865724945977963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86"/>
        <v>3.0000000000000001E-3</v>
      </c>
      <c r="BI62" s="75">
        <f>SIM_BASE!U37</f>
        <v>-673.31933145109633</v>
      </c>
      <c r="BJ62" s="72">
        <f t="shared" si="68"/>
        <v>-1.9999999999990017E-3</v>
      </c>
      <c r="BK62" s="72">
        <f t="shared" si="69"/>
        <v>-2.0000000000029985E-3</v>
      </c>
      <c r="BL62" s="72">
        <f t="shared" si="70"/>
        <v>-1.9999999999941167E-3</v>
      </c>
      <c r="BM62" s="88">
        <f t="shared" si="87"/>
        <v>-5.9999999999961169E-3</v>
      </c>
      <c r="BN62" s="73">
        <f t="shared" si="71"/>
        <v>-1.9999999997253326E-3</v>
      </c>
      <c r="BO62" s="74">
        <f>SIM_BASE!AB37</f>
        <v>147193.91538733555</v>
      </c>
      <c r="BP62" s="74">
        <f>SIM_BASE!AC37</f>
        <v>108637.07843317669</v>
      </c>
      <c r="BQ62" s="74">
        <f>SIM_BASE!AD37</f>
        <v>98906.880820427978</v>
      </c>
      <c r="BR62" s="95">
        <f t="shared" si="88"/>
        <v>123891.05449673942</v>
      </c>
      <c r="BS62" s="75">
        <f>SIM_BASE!AE37</f>
        <v>8769.3734657658333</v>
      </c>
    </row>
    <row r="63" spans="1:71" x14ac:dyDescent="0.3">
      <c r="A63" s="353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53">
        <v>4</v>
      </c>
      <c r="AL63" s="81">
        <v>2023</v>
      </c>
      <c r="AM63" s="81" t="s">
        <v>3</v>
      </c>
      <c r="AN63" s="74">
        <f>SIM_BASE!E44</f>
        <v>62.674346680116571</v>
      </c>
      <c r="AO63" s="74">
        <f>SIM_BASE!F44</f>
        <v>77.337389679933608</v>
      </c>
      <c r="AP63" s="74">
        <f>SIM_BASE!G44</f>
        <v>6.9502904928661922</v>
      </c>
      <c r="AQ63" s="95">
        <f t="shared" si="82"/>
        <v>146.96202685291638</v>
      </c>
      <c r="AR63" s="75">
        <f>SIM_BASE!H44</f>
        <v>381.03802942179152</v>
      </c>
      <c r="AS63" s="74">
        <f>SIM_BASE!K44</f>
        <v>65.693758984693446</v>
      </c>
      <c r="AT63" s="74">
        <f>SIM_BASE!L44</f>
        <v>88.94574923622406</v>
      </c>
      <c r="AU63" s="74">
        <f>SIM_BASE!M44</f>
        <v>9.0623410956210044</v>
      </c>
      <c r="AV63" s="95">
        <f t="shared" si="83"/>
        <v>163.7018493165385</v>
      </c>
      <c r="AW63" s="74">
        <f>SIM_BASE!N44</f>
        <v>22.586333241702299</v>
      </c>
      <c r="AX63" s="74">
        <f>SIM_BASE!O44</f>
        <v>1099.7679807023633</v>
      </c>
      <c r="AY63" s="98">
        <f t="shared" si="84"/>
        <v>1122.3543139440656</v>
      </c>
      <c r="AZ63" s="72">
        <f>SIM_BASE!V44</f>
        <v>-3.0184123045768563</v>
      </c>
      <c r="BA63" s="72">
        <f>SIM_BASE!W44</f>
        <v>-11.607359556290428</v>
      </c>
      <c r="BB63" s="72">
        <f>SIM_BASE!X44</f>
        <v>-2.1110506027548137</v>
      </c>
      <c r="BC63" s="88">
        <f t="shared" si="85"/>
        <v>-16.736822463622097</v>
      </c>
      <c r="BD63" s="73">
        <f>SIM_BASE!Y44</f>
        <v>-27.987831792947208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86"/>
        <v>3.0000000000000001E-3</v>
      </c>
      <c r="BI63" s="75">
        <f>SIM_BASE!U44</f>
        <v>-713.32645272932677</v>
      </c>
      <c r="BJ63" s="72">
        <f t="shared" si="68"/>
        <v>-2.0000000000185416E-3</v>
      </c>
      <c r="BK63" s="72">
        <f t="shared" si="69"/>
        <v>-2.0000000000243148E-3</v>
      </c>
      <c r="BL63" s="72">
        <f t="shared" si="70"/>
        <v>-1.9999999999985576E-3</v>
      </c>
      <c r="BM63" s="88">
        <f t="shared" si="87"/>
        <v>-6.000000000041414E-3</v>
      </c>
      <c r="BN63" s="73">
        <f t="shared" si="71"/>
        <v>-2.0000000000663931E-3</v>
      </c>
      <c r="BO63" s="74">
        <f>SIM_BASE!AB44</f>
        <v>155450.55982246783</v>
      </c>
      <c r="BP63" s="74">
        <f>SIM_BASE!AC44</f>
        <v>110789.7910576266</v>
      </c>
      <c r="BQ63" s="74">
        <f>SIM_BASE!AD44</f>
        <v>99788.769297526029</v>
      </c>
      <c r="BR63" s="95">
        <f t="shared" si="88"/>
        <v>128103.21042064101</v>
      </c>
      <c r="BS63" s="75">
        <f>SIM_BASE!AE44</f>
        <v>9028.0060226024689</v>
      </c>
    </row>
    <row r="64" spans="1:71" x14ac:dyDescent="0.3">
      <c r="A64" s="353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53">
        <v>4</v>
      </c>
      <c r="AL64" s="81">
        <v>2024</v>
      </c>
      <c r="AM64" s="81" t="s">
        <v>3</v>
      </c>
      <c r="AN64" s="74">
        <f>SIM_BASE!E51</f>
        <v>64.599501815588795</v>
      </c>
      <c r="AO64" s="74">
        <f>SIM_BASE!F51</f>
        <v>82.453093917806541</v>
      </c>
      <c r="AP64" s="74">
        <f>SIM_BASE!G51</f>
        <v>7.5604186754722242</v>
      </c>
      <c r="AQ64" s="95">
        <f t="shared" si="82"/>
        <v>154.61301440886754</v>
      </c>
      <c r="AR64" s="75">
        <f>SIM_BASE!H51</f>
        <v>400.9771869499063</v>
      </c>
      <c r="AS64" s="74">
        <f>SIM_BASE!K51</f>
        <v>67.515175793923007</v>
      </c>
      <c r="AT64" s="74">
        <f>SIM_BASE!L51</f>
        <v>94.693028561623748</v>
      </c>
      <c r="AU64" s="74">
        <f>SIM_BASE!M51</f>
        <v>9.8592550450510998</v>
      </c>
      <c r="AV64" s="95">
        <f t="shared" si="83"/>
        <v>172.06745940059784</v>
      </c>
      <c r="AW64" s="74">
        <f>SIM_BASE!N51</f>
        <v>22.681924623838626</v>
      </c>
      <c r="AX64" s="74">
        <f>SIM_BASE!O51</f>
        <v>1160.6238547038351</v>
      </c>
      <c r="AY64" s="98">
        <f t="shared" si="84"/>
        <v>1183.3057793276737</v>
      </c>
      <c r="AZ64" s="72">
        <f>SIM_BASE!V51</f>
        <v>-2.91467397833418</v>
      </c>
      <c r="BA64" s="72">
        <f>SIM_BASE!W51</f>
        <v>-12.238934643817212</v>
      </c>
      <c r="BB64" s="72">
        <f>SIM_BASE!X51</f>
        <v>-2.2978363695788802</v>
      </c>
      <c r="BC64" s="88">
        <f t="shared" si="85"/>
        <v>-17.451444991730273</v>
      </c>
      <c r="BD64" s="73">
        <f>SIM_BASE!Y51</f>
        <v>-30.82104498284771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86"/>
        <v>3.0000000000000001E-3</v>
      </c>
      <c r="BI64" s="75">
        <f>SIM_BASE!U51</f>
        <v>-751.50554739492009</v>
      </c>
      <c r="BJ64" s="72">
        <f t="shared" si="68"/>
        <v>-2.0000000000318643E-3</v>
      </c>
      <c r="BK64" s="72">
        <f t="shared" si="69"/>
        <v>-1.9999999999958931E-3</v>
      </c>
      <c r="BL64" s="72">
        <f t="shared" si="70"/>
        <v>-1.999999999995449E-3</v>
      </c>
      <c r="BM64" s="88">
        <f t="shared" si="87"/>
        <v>-6.0000000000232064E-3</v>
      </c>
      <c r="BN64" s="73">
        <f t="shared" si="71"/>
        <v>-1.9999999996116458E-3</v>
      </c>
      <c r="BO64" s="74">
        <f>SIM_BASE!AB51</f>
        <v>163719.38467827404</v>
      </c>
      <c r="BP64" s="74">
        <f>SIM_BASE!AC51</f>
        <v>112135.96007639638</v>
      </c>
      <c r="BQ64" s="74">
        <f>SIM_BASE!AD51</f>
        <v>99733.252168822757</v>
      </c>
      <c r="BR64" s="95">
        <f t="shared" si="88"/>
        <v>131665.40818497134</v>
      </c>
      <c r="BS64" s="75">
        <f>SIM_BASE!AE51</f>
        <v>9296.5406246325547</v>
      </c>
    </row>
    <row r="65" spans="1:71" x14ac:dyDescent="0.3">
      <c r="A65" s="353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53">
        <v>4</v>
      </c>
      <c r="AL65" s="81">
        <v>2025</v>
      </c>
      <c r="AM65" s="81" t="s">
        <v>3</v>
      </c>
      <c r="AN65" s="74">
        <f>SIM_BASE!E58</f>
        <v>66.604982749720577</v>
      </c>
      <c r="AO65" s="74">
        <f>SIM_BASE!F58</f>
        <v>88.353886841477305</v>
      </c>
      <c r="AP65" s="74">
        <f>SIM_BASE!G58</f>
        <v>8.2913721379262846</v>
      </c>
      <c r="AQ65" s="95">
        <f t="shared" si="82"/>
        <v>163.25024172912416</v>
      </c>
      <c r="AR65" s="75">
        <f>SIM_BASE!H58</f>
        <v>423.72268454943287</v>
      </c>
      <c r="AS65" s="74">
        <f>SIM_BASE!K58</f>
        <v>69.342433705324481</v>
      </c>
      <c r="AT65" s="74">
        <f>SIM_BASE!L58</f>
        <v>101.37415286724487</v>
      </c>
      <c r="AU65" s="74">
        <f>SIM_BASE!M58</f>
        <v>10.817117010630406</v>
      </c>
      <c r="AV65" s="95">
        <f t="shared" si="83"/>
        <v>181.53370358319975</v>
      </c>
      <c r="AW65" s="74">
        <f>SIM_BASE!N58</f>
        <v>22.658507904634078</v>
      </c>
      <c r="AX65" s="74">
        <f>SIM_BASE!O58</f>
        <v>1225.8994966607772</v>
      </c>
      <c r="AY65" s="98">
        <f t="shared" si="84"/>
        <v>1248.5580045654112</v>
      </c>
      <c r="AZ65" s="72">
        <f>SIM_BASE!V58</f>
        <v>-2.7364509556039542</v>
      </c>
      <c r="BA65" s="72">
        <f>SIM_BASE!W58</f>
        <v>-13.019266025767562</v>
      </c>
      <c r="BB65" s="72">
        <f>SIM_BASE!X58</f>
        <v>-2.5247448727041273</v>
      </c>
      <c r="BC65" s="88">
        <f t="shared" si="85"/>
        <v>-18.280461854075643</v>
      </c>
      <c r="BD65" s="73">
        <f>SIM_BASE!Y58</f>
        <v>-37.283271713632537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86"/>
        <v>3.0000000000000001E-3</v>
      </c>
      <c r="BI65" s="75">
        <f>SIM_BASE!U58</f>
        <v>-787.55004830234611</v>
      </c>
      <c r="BJ65" s="72">
        <f t="shared" si="68"/>
        <v>-1.9999999999501519E-3</v>
      </c>
      <c r="BK65" s="72">
        <f t="shared" si="69"/>
        <v>-2.0000000000065512E-3</v>
      </c>
      <c r="BL65" s="72">
        <f t="shared" si="70"/>
        <v>-1.9999999999945608E-3</v>
      </c>
      <c r="BM65" s="88">
        <f t="shared" si="87"/>
        <v>-5.9999999999512639E-3</v>
      </c>
      <c r="BN65" s="73">
        <f t="shared" si="71"/>
        <v>-1.9999999997253326E-3</v>
      </c>
      <c r="BO65" s="74">
        <f>SIM_BASE!AB58</f>
        <v>172308.83147574458</v>
      </c>
      <c r="BP65" s="74">
        <f>SIM_BASE!AC58</f>
        <v>112591.22495055795</v>
      </c>
      <c r="BQ65" s="74">
        <f>SIM_BASE!AD58</f>
        <v>98758.471606704581</v>
      </c>
      <c r="BR65" s="95">
        <f t="shared" si="88"/>
        <v>134577.96119419142</v>
      </c>
      <c r="BS65" s="75">
        <f>SIM_BASE!AE58</f>
        <v>9575.3645706595762</v>
      </c>
    </row>
    <row r="66" spans="1:71" x14ac:dyDescent="0.3">
      <c r="A66" s="353">
        <v>4</v>
      </c>
      <c r="B66" s="81">
        <v>2026</v>
      </c>
      <c r="C66" s="81" t="s">
        <v>3</v>
      </c>
      <c r="D66" s="74">
        <v>69.419676158302224</v>
      </c>
      <c r="E66" s="74">
        <v>90.903105650647859</v>
      </c>
      <c r="F66" s="74">
        <v>9.1150365063034222</v>
      </c>
      <c r="G66" s="95">
        <v>169.43781831525351</v>
      </c>
      <c r="H66" s="75">
        <v>442.08303594488973</v>
      </c>
      <c r="I66" s="74">
        <v>87.319850404590028</v>
      </c>
      <c r="J66" s="74">
        <v>118.75412121057111</v>
      </c>
      <c r="K66" s="74">
        <v>11.943381839629721</v>
      </c>
      <c r="L66" s="95">
        <v>218.01735345479088</v>
      </c>
      <c r="M66" s="74">
        <v>19.454647898121532</v>
      </c>
      <c r="N66" s="74">
        <v>1173.2252834546343</v>
      </c>
      <c r="O66" s="98">
        <v>1192.6799313527558</v>
      </c>
      <c r="P66" s="72">
        <v>-17.899174246287782</v>
      </c>
      <c r="Q66" s="72">
        <v>-27.850015559923239</v>
      </c>
      <c r="R66" s="72">
        <v>-2.8273453333262957</v>
      </c>
      <c r="S66" s="88">
        <v>-48.576535139537313</v>
      </c>
      <c r="T66" s="73">
        <v>-160.97054438523051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-589.62435102263555</v>
      </c>
      <c r="Z66" s="72">
        <v>-2.0000000000225384E-3</v>
      </c>
      <c r="AA66" s="72">
        <v>-2.000000000015433E-3</v>
      </c>
      <c r="AB66" s="72">
        <v>-2.0000000000029985E-3</v>
      </c>
      <c r="AC66" s="88">
        <v>-6.00000000004097E-3</v>
      </c>
      <c r="AD66" s="73">
        <v>-2.00000000018008E-3</v>
      </c>
      <c r="AE66" s="74">
        <v>135080.02023612495</v>
      </c>
      <c r="AF66" s="74">
        <v>97725.114101049126</v>
      </c>
      <c r="AG66" s="74">
        <v>93400.888278761937</v>
      </c>
      <c r="AH66" s="95">
        <v>112449.53343999702</v>
      </c>
      <c r="AI66" s="75">
        <v>9853.2420611676753</v>
      </c>
      <c r="AK66" s="353">
        <v>4</v>
      </c>
      <c r="AL66" s="81">
        <v>2026</v>
      </c>
      <c r="AM66" s="81" t="s">
        <v>3</v>
      </c>
      <c r="AN66" s="74">
        <f>SIM_BASE!E65</f>
        <v>64.003946586899872</v>
      </c>
      <c r="AO66" s="74">
        <f>SIM_BASE!F65</f>
        <v>95.345026757947807</v>
      </c>
      <c r="AP66" s="74">
        <f>SIM_BASE!G65</f>
        <v>9.1722173400134075</v>
      </c>
      <c r="AQ66" s="95">
        <f t="shared" si="82"/>
        <v>168.5211906848611</v>
      </c>
      <c r="AR66" s="75">
        <f>SIM_BASE!H65</f>
        <v>450.62665589452922</v>
      </c>
      <c r="AS66" s="74">
        <f>SIM_BASE!K65</f>
        <v>66.983857503924227</v>
      </c>
      <c r="AT66" s="74">
        <f>SIM_BASE!L65</f>
        <v>109.02082948090285</v>
      </c>
      <c r="AU66" s="74">
        <f>SIM_BASE!M65</f>
        <v>11.986885454018212</v>
      </c>
      <c r="AV66" s="95">
        <f t="shared" si="83"/>
        <v>187.99157243884528</v>
      </c>
      <c r="AW66" s="74">
        <f>SIM_BASE!N65</f>
        <v>23.284408749123251</v>
      </c>
      <c r="AX66" s="74">
        <f>SIM_BASE!O65</f>
        <v>1289.5437230130674</v>
      </c>
      <c r="AY66" s="98">
        <f t="shared" si="84"/>
        <v>1312.8281317621907</v>
      </c>
      <c r="AZ66" s="72">
        <f>SIM_BASE!V65</f>
        <v>-2.9789109170243631</v>
      </c>
      <c r="BA66" s="72">
        <f>SIM_BASE!W65</f>
        <v>-13.674802722955031</v>
      </c>
      <c r="BB66" s="72">
        <f>SIM_BASE!X65</f>
        <v>-2.8136681140048103</v>
      </c>
      <c r="BC66" s="88">
        <f t="shared" si="85"/>
        <v>-19.467381753984203</v>
      </c>
      <c r="BD66" s="73">
        <f>SIM_BASE!Y65</f>
        <v>-58.07469959303905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86"/>
        <v>3.0000000000000001E-3</v>
      </c>
      <c r="BI66" s="75">
        <f>SIM_BASE!U65</f>
        <v>-804.12477627462226</v>
      </c>
      <c r="BJ66" s="72">
        <f t="shared" si="68"/>
        <v>-1.9999999999923404E-3</v>
      </c>
      <c r="BK66" s="72">
        <f t="shared" si="69"/>
        <v>-2.0000000000101039E-3</v>
      </c>
      <c r="BL66" s="72">
        <f t="shared" si="70"/>
        <v>-1.9999999999945608E-3</v>
      </c>
      <c r="BM66" s="88">
        <f t="shared" si="87"/>
        <v>-5.9999999999970051E-3</v>
      </c>
      <c r="BN66" s="73">
        <f t="shared" si="71"/>
        <v>-2.0000000000663931E-3</v>
      </c>
      <c r="BO66" s="74">
        <f>SIM_BASE!AB65</f>
        <v>196928.65787139043</v>
      </c>
      <c r="BP66" s="74">
        <f>SIM_BASE!AC65</f>
        <v>113322.07223972108</v>
      </c>
      <c r="BQ66" s="74">
        <f>SIM_BASE!AD65</f>
        <v>97641.842191109026</v>
      </c>
      <c r="BR66" s="95">
        <f t="shared" si="88"/>
        <v>142112.37611686258</v>
      </c>
      <c r="BS66" s="75">
        <f>SIM_BASE!AE65</f>
        <v>9852.9034080599195</v>
      </c>
    </row>
    <row r="67" spans="1:71" x14ac:dyDescent="0.3">
      <c r="A67" s="353">
        <v>4</v>
      </c>
      <c r="B67" s="81">
        <v>2027</v>
      </c>
      <c r="C67" s="81" t="s">
        <v>3</v>
      </c>
      <c r="D67" s="74">
        <v>66.117847813595091</v>
      </c>
      <c r="E67" s="74">
        <v>98.510576029130902</v>
      </c>
      <c r="F67" s="74">
        <v>10.16728991341733</v>
      </c>
      <c r="G67" s="95">
        <v>174.79571375614333</v>
      </c>
      <c r="H67" s="75">
        <v>472.28934857595618</v>
      </c>
      <c r="I67" s="74">
        <v>83.756220286676594</v>
      </c>
      <c r="J67" s="74">
        <v>128.56235532384386</v>
      </c>
      <c r="K67" s="74">
        <v>13.34657670608842</v>
      </c>
      <c r="L67" s="95">
        <v>225.66515231660887</v>
      </c>
      <c r="M67" s="74">
        <v>19.830070069859097</v>
      </c>
      <c r="N67" s="74">
        <v>1233.0418991314393</v>
      </c>
      <c r="O67" s="98">
        <v>1252.8719692012985</v>
      </c>
      <c r="P67" s="72">
        <v>-17.637372473081516</v>
      </c>
      <c r="Q67" s="72">
        <v>-30.050779294712857</v>
      </c>
      <c r="R67" s="72">
        <v>-3.1782867926710829</v>
      </c>
      <c r="S67" s="88">
        <v>-50.866438560465454</v>
      </c>
      <c r="T67" s="73">
        <v>-180.19503390408252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-600.38558672125964</v>
      </c>
      <c r="Z67" s="72">
        <v>-1.9999999999870113E-3</v>
      </c>
      <c r="AA67" s="72">
        <v>-2.0000000001006981E-3</v>
      </c>
      <c r="AB67" s="72">
        <v>-2.0000000000078835E-3</v>
      </c>
      <c r="AC67" s="88">
        <v>-6.0000000000955929E-3</v>
      </c>
      <c r="AD67" s="73">
        <v>-2.00000000018008E-3</v>
      </c>
      <c r="AE67" s="74">
        <v>155667.37326853219</v>
      </c>
      <c r="AF67" s="74">
        <v>97546.880360230309</v>
      </c>
      <c r="AG67" s="74">
        <v>91584.919608428143</v>
      </c>
      <c r="AH67" s="95">
        <v>118765.84567919647</v>
      </c>
      <c r="AI67" s="75">
        <v>10140.930631612558</v>
      </c>
      <c r="AK67" s="353">
        <v>4</v>
      </c>
      <c r="AL67" s="81">
        <v>2027</v>
      </c>
      <c r="AM67" s="81" t="s">
        <v>3</v>
      </c>
      <c r="AN67" s="74">
        <f>SIM_BASE!E72</f>
        <v>60.896690849284489</v>
      </c>
      <c r="AO67" s="74">
        <f>SIM_BASE!F72</f>
        <v>103.31896388612219</v>
      </c>
      <c r="AP67" s="74">
        <f>SIM_BASE!G72</f>
        <v>10.230209967526246</v>
      </c>
      <c r="AQ67" s="95">
        <f t="shared" si="82"/>
        <v>174.44586470293291</v>
      </c>
      <c r="AR67" s="75">
        <f>SIM_BASE!H72</f>
        <v>481.38253902131635</v>
      </c>
      <c r="AS67" s="74">
        <f>SIM_BASE!K72</f>
        <v>64.270732988578885</v>
      </c>
      <c r="AT67" s="74">
        <f>SIM_BASE!L72</f>
        <v>118.0427259792954</v>
      </c>
      <c r="AU67" s="74">
        <f>SIM_BASE!M72</f>
        <v>13.398658362746989</v>
      </c>
      <c r="AV67" s="95">
        <f t="shared" si="83"/>
        <v>195.71211733062128</v>
      </c>
      <c r="AW67" s="74">
        <f>SIM_BASE!N72</f>
        <v>23.899730726366105</v>
      </c>
      <c r="AX67" s="74">
        <f>SIM_BASE!O72</f>
        <v>1359.4978406380824</v>
      </c>
      <c r="AY67" s="98">
        <f t="shared" si="84"/>
        <v>1383.3975713644486</v>
      </c>
      <c r="AZ67" s="72">
        <f>SIM_BASE!V72</f>
        <v>-3.3730421392944012</v>
      </c>
      <c r="BA67" s="72">
        <f>SIM_BASE!W72</f>
        <v>-14.722762093173207</v>
      </c>
      <c r="BB67" s="72">
        <f>SIM_BASE!X72</f>
        <v>-3.1674483952207413</v>
      </c>
      <c r="BC67" s="88">
        <f t="shared" si="85"/>
        <v>-21.263252627688349</v>
      </c>
      <c r="BD67" s="73">
        <f>SIM_BASE!Y72</f>
        <v>-83.875793313752951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86"/>
        <v>3.0000000000000001E-3</v>
      </c>
      <c r="BI67" s="75">
        <f>SIM_BASE!U72</f>
        <v>-818.13723902937909</v>
      </c>
      <c r="BJ67" s="72">
        <f t="shared" si="68"/>
        <v>-1.9999999999945608E-3</v>
      </c>
      <c r="BK67" s="72">
        <f t="shared" si="69"/>
        <v>-1.9999999999994458E-3</v>
      </c>
      <c r="BL67" s="72">
        <f t="shared" si="70"/>
        <v>-2.0000000000016662E-3</v>
      </c>
      <c r="BM67" s="88">
        <f t="shared" si="87"/>
        <v>-5.9999999999956729E-3</v>
      </c>
      <c r="BN67" s="73">
        <f t="shared" si="71"/>
        <v>-2.0000000000663931E-3</v>
      </c>
      <c r="BO67" s="74">
        <f>SIM_BASE!AB72</f>
        <v>226809.65880387236</v>
      </c>
      <c r="BP67" s="74">
        <f>SIM_BASE!AC72</f>
        <v>113103.6158895969</v>
      </c>
      <c r="BQ67" s="74">
        <f>SIM_BASE!AD72</f>
        <v>95736.581762201808</v>
      </c>
      <c r="BR67" s="95">
        <f t="shared" si="88"/>
        <v>149255.06048478113</v>
      </c>
      <c r="BS67" s="75">
        <f>SIM_BASE!AE72</f>
        <v>10140.611801069384</v>
      </c>
    </row>
    <row r="68" spans="1:71" x14ac:dyDescent="0.3">
      <c r="A68" s="353">
        <v>4</v>
      </c>
      <c r="B68" s="81">
        <v>2028</v>
      </c>
      <c r="C68" s="81" t="s">
        <v>3</v>
      </c>
      <c r="D68" s="74">
        <v>62.477426770904891</v>
      </c>
      <c r="E68" s="74">
        <v>107.37678774182558</v>
      </c>
      <c r="F68" s="74">
        <v>11.61518835537712</v>
      </c>
      <c r="G68" s="95">
        <v>181.46940286810758</v>
      </c>
      <c r="H68" s="75">
        <v>507.27087445713101</v>
      </c>
      <c r="I68" s="74">
        <v>79.599246772680516</v>
      </c>
      <c r="J68" s="74">
        <v>139.89486151130779</v>
      </c>
      <c r="K68" s="74">
        <v>14.79133926495094</v>
      </c>
      <c r="L68" s="95">
        <v>234.28544754893926</v>
      </c>
      <c r="M68" s="74">
        <v>20.219554341181912</v>
      </c>
      <c r="N68" s="74">
        <v>1307.5959905712784</v>
      </c>
      <c r="O68" s="98">
        <v>1327.8155449124604</v>
      </c>
      <c r="P68" s="72">
        <v>-17.120820001775662</v>
      </c>
      <c r="Q68" s="72">
        <v>-32.517073769482174</v>
      </c>
      <c r="R68" s="72">
        <v>-3.1751509095738184</v>
      </c>
      <c r="S68" s="88">
        <v>-52.813044680831652</v>
      </c>
      <c r="T68" s="73">
        <v>-215.65877995951703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-604.88389049581224</v>
      </c>
      <c r="Z68" s="72">
        <v>-1.9999999999621423E-3</v>
      </c>
      <c r="AA68" s="72">
        <v>-2.000000000040302E-3</v>
      </c>
      <c r="AB68" s="72">
        <v>-2.0000000000021103E-3</v>
      </c>
      <c r="AC68" s="88">
        <v>-6.0000000000045546E-3</v>
      </c>
      <c r="AD68" s="73">
        <v>-2.0000000000663931E-3</v>
      </c>
      <c r="AE68" s="74">
        <v>181499.67938828617</v>
      </c>
      <c r="AF68" s="74">
        <v>96921.180469047424</v>
      </c>
      <c r="AG68" s="74">
        <v>90886.503970359365</v>
      </c>
      <c r="AH68" s="95">
        <v>125276.00971340922</v>
      </c>
      <c r="AI68" s="75">
        <v>10439.159183067402</v>
      </c>
      <c r="AK68" s="353">
        <v>4</v>
      </c>
      <c r="AL68" s="81">
        <v>2028</v>
      </c>
      <c r="AM68" s="81" t="s">
        <v>3</v>
      </c>
      <c r="AN68" s="74">
        <f>SIM_BASE!E79</f>
        <v>57.509372938838453</v>
      </c>
      <c r="AO68" s="74">
        <f>SIM_BASE!F79</f>
        <v>112.56054678865806</v>
      </c>
      <c r="AP68" s="74">
        <f>SIM_BASE!G79</f>
        <v>11.504605848868463</v>
      </c>
      <c r="AQ68" s="95">
        <f t="shared" si="82"/>
        <v>181.57452557636498</v>
      </c>
      <c r="AR68" s="75">
        <f>SIM_BASE!H79</f>
        <v>516.52730212133781</v>
      </c>
      <c r="AS68" s="74">
        <f>SIM_BASE!K79</f>
        <v>61.064502831735211</v>
      </c>
      <c r="AT68" s="74">
        <f>SIM_BASE!L79</f>
        <v>128.50224576225682</v>
      </c>
      <c r="AU68" s="74">
        <f>SIM_BASE!M79</f>
        <v>15.106188878267991</v>
      </c>
      <c r="AV68" s="95">
        <f t="shared" si="83"/>
        <v>204.67293747226003</v>
      </c>
      <c r="AW68" s="74">
        <f>SIM_BASE!N79</f>
        <v>24.52041033109483</v>
      </c>
      <c r="AX68" s="74">
        <f>SIM_BASE!O79</f>
        <v>1440.1008778706478</v>
      </c>
      <c r="AY68" s="98">
        <f t="shared" si="84"/>
        <v>1464.6212882017426</v>
      </c>
      <c r="AZ68" s="72">
        <f>SIM_BASE!V79</f>
        <v>-3.5541298928967531</v>
      </c>
      <c r="BA68" s="72">
        <f>SIM_BASE!W79</f>
        <v>-15.940698973598755</v>
      </c>
      <c r="BB68" s="72">
        <f>SIM_BASE!X79</f>
        <v>-3.600583029399528</v>
      </c>
      <c r="BC68" s="88">
        <f t="shared" si="85"/>
        <v>-23.095411895895033</v>
      </c>
      <c r="BD68" s="73">
        <f>SIM_BASE!Y79</f>
        <v>-113.05103929705649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86"/>
        <v>3.0000000000000001E-3</v>
      </c>
      <c r="BI68" s="75">
        <f>SIM_BASE!U79</f>
        <v>-835.04094678334809</v>
      </c>
      <c r="BJ68" s="72">
        <f t="shared" si="68"/>
        <v>-2.000000000005219E-3</v>
      </c>
      <c r="BK68" s="72">
        <f t="shared" si="69"/>
        <v>-2.0000000000065512E-3</v>
      </c>
      <c r="BL68" s="72">
        <f t="shared" si="70"/>
        <v>-1.9999999999998899E-3</v>
      </c>
      <c r="BM68" s="88">
        <f t="shared" si="87"/>
        <v>-6.0000000000116601E-3</v>
      </c>
      <c r="BN68" s="73">
        <f t="shared" si="71"/>
        <v>-2.00000000018008E-3</v>
      </c>
      <c r="BO68" s="74">
        <f>SIM_BASE!AB79</f>
        <v>264271.85808819014</v>
      </c>
      <c r="BP68" s="74">
        <f>SIM_BASE!AC79</f>
        <v>112122.45793350856</v>
      </c>
      <c r="BQ68" s="74">
        <f>SIM_BASE!AD79</f>
        <v>93086.770949689439</v>
      </c>
      <c r="BR68" s="95">
        <f t="shared" si="88"/>
        <v>156111.52119111418</v>
      </c>
      <c r="BS68" s="75">
        <f>SIM_BASE!AE79</f>
        <v>10438.869807919838</v>
      </c>
    </row>
    <row r="69" spans="1:71" x14ac:dyDescent="0.3">
      <c r="A69" s="503">
        <v>4</v>
      </c>
      <c r="B69" s="81">
        <v>2029</v>
      </c>
      <c r="C69" s="81" t="s">
        <v>3</v>
      </c>
      <c r="D69" s="74">
        <v>58.473834100002477</v>
      </c>
      <c r="E69" s="74">
        <v>117.6954717580483</v>
      </c>
      <c r="F69" s="74">
        <v>13.35410001962429</v>
      </c>
      <c r="G69" s="95">
        <v>189.52340587767509</v>
      </c>
      <c r="H69" s="75">
        <v>547.79969191008013</v>
      </c>
      <c r="I69" s="74">
        <v>75.126976516431441</v>
      </c>
      <c r="J69" s="74">
        <v>153.03999676895168</v>
      </c>
      <c r="K69" s="74">
        <v>16.568648850829227</v>
      </c>
      <c r="L69" s="95">
        <v>244.73562213621233</v>
      </c>
      <c r="M69" s="74">
        <v>20.869507543493629</v>
      </c>
      <c r="N69" s="74">
        <v>1397.3887463753576</v>
      </c>
      <c r="O69" s="98">
        <v>1418.2582539188513</v>
      </c>
      <c r="P69" s="72">
        <v>-16.652142416428998</v>
      </c>
      <c r="Q69" s="72">
        <v>-35.343525010903392</v>
      </c>
      <c r="R69" s="72">
        <v>-3.2135488312049398</v>
      </c>
      <c r="S69" s="88">
        <v>-55.209216258537332</v>
      </c>
      <c r="T69" s="73">
        <v>-253.98231060449831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-616.47425140427299</v>
      </c>
      <c r="Z69" s="72">
        <v>-1.999999999965695E-3</v>
      </c>
      <c r="AA69" s="72">
        <v>-1.999999999990564E-3</v>
      </c>
      <c r="AB69" s="72">
        <v>-1.9999999999967813E-3</v>
      </c>
      <c r="AC69" s="88">
        <v>-5.9999999999530403E-3</v>
      </c>
      <c r="AD69" s="73">
        <v>-1.9999999999527063E-3</v>
      </c>
      <c r="AE69" s="74">
        <v>213872.41905941645</v>
      </c>
      <c r="AF69" s="74">
        <v>95748.811767266481</v>
      </c>
      <c r="AG69" s="74">
        <v>89257.165034273305</v>
      </c>
      <c r="AH69" s="95">
        <v>131569.96268665182</v>
      </c>
      <c r="AI69" s="75">
        <v>10748.326802155649</v>
      </c>
      <c r="AK69" s="503">
        <v>4</v>
      </c>
      <c r="AL69" s="81">
        <v>2029</v>
      </c>
      <c r="AM69" s="81" t="s">
        <v>3</v>
      </c>
      <c r="AN69" s="74">
        <f>SIM_BASE!E86</f>
        <v>53.882951339564727</v>
      </c>
      <c r="AO69" s="74">
        <f>SIM_BASE!F86</f>
        <v>123.31626526782821</v>
      </c>
      <c r="AP69" s="74">
        <f>SIM_BASE!G86</f>
        <v>13.209448492521243</v>
      </c>
      <c r="AQ69" s="95">
        <f t="shared" si="82"/>
        <v>190.40866509991417</v>
      </c>
      <c r="AR69" s="75">
        <f>SIM_BASE!H86</f>
        <v>557.10595613145836</v>
      </c>
      <c r="AS69" s="74">
        <f>SIM_BASE!K86</f>
        <v>57.486526045916548</v>
      </c>
      <c r="AT69" s="74">
        <f>SIM_BASE!L86</f>
        <v>140.64078663890697</v>
      </c>
      <c r="AU69" s="74">
        <f>SIM_BASE!M86</f>
        <v>16.94864351545985</v>
      </c>
      <c r="AV69" s="95">
        <f t="shared" si="83"/>
        <v>215.07595620028337</v>
      </c>
      <c r="AW69" s="74">
        <f>SIM_BASE!N86</f>
        <v>25.1388159905291</v>
      </c>
      <c r="AX69" s="74">
        <f>SIM_BASE!O86</f>
        <v>1540.2195517872547</v>
      </c>
      <c r="AY69" s="98">
        <f t="shared" si="84"/>
        <v>1565.3583677777838</v>
      </c>
      <c r="AZ69" s="72">
        <f>SIM_BASE!V86</f>
        <v>-3.6025747063518203</v>
      </c>
      <c r="BA69" s="72">
        <f>SIM_BASE!W86</f>
        <v>-17.323521371078765</v>
      </c>
      <c r="BB69" s="72">
        <f>SIM_BASE!X86</f>
        <v>-3.7381950229386067</v>
      </c>
      <c r="BC69" s="88">
        <f t="shared" si="85"/>
        <v>-24.664291100369191</v>
      </c>
      <c r="BD69" s="73">
        <f>SIM_BASE!Y86</f>
        <v>-144.29846943714711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86"/>
        <v>3.0000000000000001E-3</v>
      </c>
      <c r="BI69" s="75">
        <f>SIM_BASE!U86</f>
        <v>-863.95194220917858</v>
      </c>
      <c r="BJ69" s="72">
        <f t="shared" si="68"/>
        <v>-2.0000000000012222E-3</v>
      </c>
      <c r="BK69" s="72">
        <f t="shared" si="69"/>
        <v>-1.9999999999941167E-3</v>
      </c>
      <c r="BL69" s="72">
        <f t="shared" si="70"/>
        <v>-1.9999999999994458E-3</v>
      </c>
      <c r="BM69" s="88">
        <f t="shared" si="87"/>
        <v>-5.9999999999947847E-3</v>
      </c>
      <c r="BN69" s="73">
        <f t="shared" si="71"/>
        <v>-1.9999999997253326E-3</v>
      </c>
      <c r="BO69" s="74">
        <f>SIM_BASE!AB86</f>
        <v>311427.71818011568</v>
      </c>
      <c r="BP69" s="74">
        <f>SIM_BASE!AC86</f>
        <v>110586.24868750633</v>
      </c>
      <c r="BQ69" s="74">
        <f>SIM_BASE!AD86</f>
        <v>91258.927783838546</v>
      </c>
      <c r="BR69" s="95">
        <f t="shared" si="88"/>
        <v>162745.0612910655</v>
      </c>
      <c r="BS69" s="75">
        <f>SIM_BASE!AE86</f>
        <v>10748.066091862818</v>
      </c>
    </row>
    <row r="70" spans="1:71" ht="16.2" thickBot="1" x14ac:dyDescent="0.35">
      <c r="A70" s="387">
        <v>4</v>
      </c>
      <c r="B70" s="82">
        <v>2030</v>
      </c>
      <c r="C70" s="82" t="s">
        <v>3</v>
      </c>
      <c r="D70" s="78">
        <v>54.253011461989395</v>
      </c>
      <c r="E70" s="78">
        <v>129.59877831246939</v>
      </c>
      <c r="F70" s="78">
        <v>15.826192826300925</v>
      </c>
      <c r="G70" s="96">
        <v>199.67798260075972</v>
      </c>
      <c r="H70" s="79">
        <v>594.91938303844734</v>
      </c>
      <c r="I70" s="78">
        <v>70.322886118812377</v>
      </c>
      <c r="J70" s="78">
        <v>168.53527117849822</v>
      </c>
      <c r="K70" s="78">
        <v>18.27713803844301</v>
      </c>
      <c r="L70" s="96">
        <v>257.1352953357536</v>
      </c>
      <c r="M70" s="78">
        <v>21.586387145906144</v>
      </c>
      <c r="N70" s="78">
        <v>1511.3266417397604</v>
      </c>
      <c r="O70" s="99">
        <v>1532.9130288856666</v>
      </c>
      <c r="P70" s="76">
        <v>-16.068874656822985</v>
      </c>
      <c r="Q70" s="76">
        <v>-38.935492866028945</v>
      </c>
      <c r="R70" s="76">
        <v>-2.4499452121420839</v>
      </c>
      <c r="S70" s="89">
        <v>-57.454312734994012</v>
      </c>
      <c r="T70" s="77">
        <v>-295.25620398126927</v>
      </c>
      <c r="U70" s="76">
        <v>1E-3</v>
      </c>
      <c r="V70" s="76">
        <v>1E-3</v>
      </c>
      <c r="W70" s="76">
        <v>1E-3</v>
      </c>
      <c r="X70" s="89">
        <v>3.0000000000000001E-3</v>
      </c>
      <c r="Y70" s="79">
        <v>-642.73544186594972</v>
      </c>
      <c r="Z70" s="72">
        <v>-1.9999999999976694E-3</v>
      </c>
      <c r="AA70" s="72">
        <v>-1.9999999998839826E-3</v>
      </c>
      <c r="AB70" s="72">
        <v>-2.000000000000334E-3</v>
      </c>
      <c r="AC70" s="88">
        <v>-5.999999999881986E-3</v>
      </c>
      <c r="AD70" s="73">
        <v>-2.00000000018008E-3</v>
      </c>
      <c r="AE70" s="78">
        <v>254744.77361123794</v>
      </c>
      <c r="AF70" s="78">
        <v>94025.679818070756</v>
      </c>
      <c r="AG70" s="78">
        <v>89419.813375962025</v>
      </c>
      <c r="AH70" s="96">
        <v>137652.70682165129</v>
      </c>
      <c r="AI70" s="79">
        <v>11068.840522432054</v>
      </c>
      <c r="AK70" s="387">
        <v>4</v>
      </c>
      <c r="AL70" s="82">
        <v>2030</v>
      </c>
      <c r="AM70" s="82" t="s">
        <v>3</v>
      </c>
      <c r="AN70" s="74">
        <f>SIM_BASE!E93</f>
        <v>50.052954299512209</v>
      </c>
      <c r="AO70" s="74">
        <f>SIM_BASE!F93</f>
        <v>135.88737350558452</v>
      </c>
      <c r="AP70" s="74">
        <f>SIM_BASE!G93</f>
        <v>15.406661261864691</v>
      </c>
      <c r="AQ70" s="95">
        <f t="shared" ref="AQ70" si="100">SUM(AN70:AP70)</f>
        <v>201.34698906696141</v>
      </c>
      <c r="AR70" s="75">
        <f>SIM_BASE!H93</f>
        <v>604.67705538512951</v>
      </c>
      <c r="AS70" s="74">
        <f>SIM_BASE!K93</f>
        <v>53.693555543778608</v>
      </c>
      <c r="AT70" s="74">
        <f>SIM_BASE!L93</f>
        <v>154.73814505331472</v>
      </c>
      <c r="AU70" s="74">
        <f>SIM_BASE!M93</f>
        <v>19.025806652112511</v>
      </c>
      <c r="AV70" s="95">
        <f t="shared" ref="AV70" si="101">SUM(AS70:AU70)</f>
        <v>227.45750724920586</v>
      </c>
      <c r="AW70" s="74">
        <f>SIM_BASE!N93</f>
        <v>26.291565408024198</v>
      </c>
      <c r="AX70" s="74">
        <f>SIM_BASE!O93</f>
        <v>1667.6758831389491</v>
      </c>
      <c r="AY70" s="98">
        <f t="shared" ref="AY70" si="102">SUM(AW70:AX70)</f>
        <v>1693.9674485469732</v>
      </c>
      <c r="AZ70" s="72">
        <f>SIM_BASE!V93</f>
        <v>-3.6396012442664074</v>
      </c>
      <c r="BA70" s="72">
        <f>SIM_BASE!W93</f>
        <v>-18.849771547730167</v>
      </c>
      <c r="BB70" s="72">
        <f>SIM_BASE!X93</f>
        <v>-3.6181453902478173</v>
      </c>
      <c r="BC70" s="88">
        <f t="shared" ref="BC70" si="103">SUM(AZ70:BB70)</f>
        <v>-26.107518182244394</v>
      </c>
      <c r="BD70" s="73">
        <f>SIM_BASE!Y93</f>
        <v>-171.98069749155468</v>
      </c>
      <c r="BE70" s="72">
        <f>SIM_BASE!R93</f>
        <v>1E-3</v>
      </c>
      <c r="BF70" s="72">
        <f>SIM_BASE!S93</f>
        <v>1E-3</v>
      </c>
      <c r="BG70" s="72">
        <f>SIM_BASE!T93</f>
        <v>1E-3</v>
      </c>
      <c r="BH70" s="88">
        <f t="shared" ref="BH70" si="104">SUM(BE70:BG70)</f>
        <v>3.0000000000000001E-3</v>
      </c>
      <c r="BI70" s="75">
        <f>SIM_BASE!U93</f>
        <v>-917.30769567028926</v>
      </c>
      <c r="BJ70" s="72">
        <f t="shared" ref="BJ70" si="105">AN70-AS70-AZ70-BE70</f>
        <v>-1.9999999999918963E-3</v>
      </c>
      <c r="BK70" s="72">
        <f t="shared" ref="BK70" si="106">AO70-AT70-BA70-BF70</f>
        <v>-2.0000000000367493E-3</v>
      </c>
      <c r="BL70" s="72">
        <f t="shared" ref="BL70" si="107">AP70-AU70-BB70-BG70</f>
        <v>-2.0000000000021103E-3</v>
      </c>
      <c r="BM70" s="88">
        <f t="shared" ref="BM70" si="108">SUM(BJ70:BL70)</f>
        <v>-6.0000000000307559E-3</v>
      </c>
      <c r="BN70" s="73">
        <f t="shared" ref="BN70" si="109">AR70-AW70-AX70-BD70-BI70</f>
        <v>-1.9999999999527063E-3</v>
      </c>
      <c r="BO70" s="74">
        <f>SIM_BASE!AB93</f>
        <v>371966.62791912915</v>
      </c>
      <c r="BP70" s="74">
        <f>SIM_BASE!AC93</f>
        <v>108591.80041878918</v>
      </c>
      <c r="BQ70" s="74">
        <f>SIM_BASE!AD93</f>
        <v>89593.818708106104</v>
      </c>
      <c r="BR70" s="95">
        <f t="shared" ref="BR70" si="110">SUMPRODUCT(BO70:BQ70,AS70:AU70)/AV70</f>
        <v>169174.89204353438</v>
      </c>
      <c r="BS70" s="75">
        <f>SIM_BASE!AE93</f>
        <v>11068.607259801425</v>
      </c>
    </row>
    <row r="71" spans="1:71" x14ac:dyDescent="0.3">
      <c r="A71" s="352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52">
        <v>5</v>
      </c>
      <c r="AL71" s="80">
        <v>2018</v>
      </c>
      <c r="AM71" s="80" t="s">
        <v>4</v>
      </c>
      <c r="AN71" s="70">
        <f>SIM_BASE!E10</f>
        <v>45.125638719458493</v>
      </c>
      <c r="AO71" s="70">
        <f>SIM_BASE!F10</f>
        <v>75.318898027449563</v>
      </c>
      <c r="AP71" s="70">
        <f>SIM_BASE!G10</f>
        <v>7.0154824615355214</v>
      </c>
      <c r="AQ71" s="94">
        <f t="shared" si="82"/>
        <v>127.46001920844358</v>
      </c>
      <c r="AR71" s="71">
        <f>SIM_BASE!H10</f>
        <v>1057.9985190946586</v>
      </c>
      <c r="AS71" s="70">
        <f>SIM_BASE!K10</f>
        <v>33.471229836622044</v>
      </c>
      <c r="AT71" s="70">
        <f>SIM_BASE!L10</f>
        <v>59.314386873693344</v>
      </c>
      <c r="AU71" s="70">
        <f>SIM_BASE!M10</f>
        <v>5.4653074309244349</v>
      </c>
      <c r="AV71" s="94">
        <f t="shared" si="83"/>
        <v>98.250924141239835</v>
      </c>
      <c r="AW71" s="70">
        <f>SIM_BASE!N10</f>
        <v>15.41149788713402</v>
      </c>
      <c r="AX71" s="70">
        <f>SIM_BASE!O10</f>
        <v>870.51106636488817</v>
      </c>
      <c r="AY71" s="97">
        <f t="shared" si="84"/>
        <v>885.9225642520222</v>
      </c>
      <c r="AZ71" s="68">
        <f>SIM_BASE!V10</f>
        <v>11.655408882836445</v>
      </c>
      <c r="BA71" s="68">
        <f>SIM_BASE!W10</f>
        <v>16.00551115375622</v>
      </c>
      <c r="BB71" s="68">
        <f>SIM_BASE!X10</f>
        <v>1.5501591192884816</v>
      </c>
      <c r="BC71" s="87">
        <f t="shared" si="85"/>
        <v>29.211079155881144</v>
      </c>
      <c r="BD71" s="69">
        <f>SIM_BASE!Y10</f>
        <v>172.07695484263624</v>
      </c>
      <c r="BE71" s="68">
        <f>SIM_BASE!R10</f>
        <v>1E-3</v>
      </c>
      <c r="BF71" s="68">
        <f>SIM_BASE!S10</f>
        <v>1E-3</v>
      </c>
      <c r="BG71" s="68">
        <f>SIM_BASE!T10</f>
        <v>2.015911322605585E-3</v>
      </c>
      <c r="BH71" s="87">
        <f t="shared" si="86"/>
        <v>4.0159113226055851E-3</v>
      </c>
      <c r="BI71" s="71">
        <f>SIM_BASE!U10</f>
        <v>1E-3</v>
      </c>
      <c r="BJ71" s="68">
        <f t="shared" si="68"/>
        <v>-1.9999999999958931E-3</v>
      </c>
      <c r="BK71" s="68">
        <f t="shared" si="69"/>
        <v>-2.0000000000012222E-3</v>
      </c>
      <c r="BL71" s="68">
        <f t="shared" si="70"/>
        <v>-2.0000000000007737E-3</v>
      </c>
      <c r="BM71" s="87">
        <f t="shared" si="87"/>
        <v>-5.999999999997889E-3</v>
      </c>
      <c r="BN71" s="69">
        <f t="shared" si="71"/>
        <v>-1.9999999997205578E-3</v>
      </c>
      <c r="BO71" s="70">
        <f>SIM_BASE!AB10</f>
        <v>80982.491821146294</v>
      </c>
      <c r="BP71" s="70">
        <f>SIM_BASE!AC10</f>
        <v>76980.306961163718</v>
      </c>
      <c r="BQ71" s="70">
        <f>SIM_BASE!AD10</f>
        <v>82303.256365207955</v>
      </c>
      <c r="BR71" s="94">
        <f t="shared" si="88"/>
        <v>78639.829308201312</v>
      </c>
      <c r="BS71" s="71">
        <f>SIM_BASE!AE10</f>
        <v>7211.188073784655</v>
      </c>
    </row>
    <row r="72" spans="1:71" x14ac:dyDescent="0.3">
      <c r="A72" s="353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53">
        <v>5</v>
      </c>
      <c r="AL72" s="81">
        <v>2019</v>
      </c>
      <c r="AM72" s="81" t="s">
        <v>4</v>
      </c>
      <c r="AN72" s="74">
        <f>SIM_BASE!E17</f>
        <v>44.587303317226599</v>
      </c>
      <c r="AO72" s="74">
        <f>SIM_BASE!F17</f>
        <v>81.658223815744762</v>
      </c>
      <c r="AP72" s="74">
        <f>SIM_BASE!G17</f>
        <v>7.6859174108218706</v>
      </c>
      <c r="AQ72" s="95">
        <f t="shared" si="82"/>
        <v>133.93144454379322</v>
      </c>
      <c r="AR72" s="75">
        <f>SIM_BASE!H17</f>
        <v>1104.0559622785856</v>
      </c>
      <c r="AS72" s="74">
        <f>SIM_BASE!K17</f>
        <v>23.725999527371098</v>
      </c>
      <c r="AT72" s="74">
        <f>SIM_BASE!L17</f>
        <v>54.342542337670508</v>
      </c>
      <c r="AU72" s="74">
        <f>SIM_BASE!M17</f>
        <v>6.0623892717603542</v>
      </c>
      <c r="AV72" s="95">
        <f t="shared" si="83"/>
        <v>84.130931136801962</v>
      </c>
      <c r="AW72" s="74">
        <f>SIM_BASE!N17</f>
        <v>23.704290238126539</v>
      </c>
      <c r="AX72" s="74">
        <f>SIM_BASE!O17</f>
        <v>1030.0239853537498</v>
      </c>
      <c r="AY72" s="98">
        <f t="shared" si="84"/>
        <v>1053.7282755918764</v>
      </c>
      <c r="AZ72" s="72">
        <f>SIM_BASE!V17</f>
        <v>20.862303789855488</v>
      </c>
      <c r="BA72" s="72">
        <f>SIM_BASE!W17</f>
        <v>27.316681478074241</v>
      </c>
      <c r="BB72" s="72">
        <f>SIM_BASE!X17</f>
        <v>1.6245281390615147</v>
      </c>
      <c r="BC72" s="88">
        <f t="shared" si="85"/>
        <v>49.80351340699125</v>
      </c>
      <c r="BD72" s="73">
        <f>SIM_BASE!Y17</f>
        <v>50.328686686708942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86"/>
        <v>3.0000000000000001E-3</v>
      </c>
      <c r="BI72" s="75">
        <f>SIM_BASE!U17</f>
        <v>1E-3</v>
      </c>
      <c r="BJ72" s="72">
        <f t="shared" si="68"/>
        <v>-1.9999999999870113E-3</v>
      </c>
      <c r="BK72" s="72">
        <f t="shared" si="69"/>
        <v>-1.9999999999870113E-3</v>
      </c>
      <c r="BL72" s="72">
        <f t="shared" si="70"/>
        <v>-1.9999999999983356E-3</v>
      </c>
      <c r="BM72" s="88">
        <f t="shared" si="87"/>
        <v>-5.9999999999723582E-3</v>
      </c>
      <c r="BN72" s="73">
        <f t="shared" si="71"/>
        <v>-1.9999999996566089E-3</v>
      </c>
      <c r="BO72" s="74">
        <f>SIM_BASE!AB17</f>
        <v>128923.80311792575</v>
      </c>
      <c r="BP72" s="74">
        <f>SIM_BASE!AC17</f>
        <v>91929.320386448875</v>
      </c>
      <c r="BQ72" s="74">
        <f>SIM_BASE!AD17</f>
        <v>94972.691623110601</v>
      </c>
      <c r="BR72" s="95">
        <f t="shared" si="88"/>
        <v>102581.54031113075</v>
      </c>
      <c r="BS72" s="75">
        <f>SIM_BASE!AE17</f>
        <v>7512.0925658264223</v>
      </c>
    </row>
    <row r="73" spans="1:71" x14ac:dyDescent="0.3">
      <c r="A73" s="353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53">
        <v>5</v>
      </c>
      <c r="AL73" s="81">
        <v>2020</v>
      </c>
      <c r="AM73" s="81" t="s">
        <v>4</v>
      </c>
      <c r="AN73" s="74">
        <f>SIM_BASE!E24</f>
        <v>44.923461593084561</v>
      </c>
      <c r="AO73" s="74">
        <f>SIM_BASE!F24</f>
        <v>87.229132483929419</v>
      </c>
      <c r="AP73" s="74">
        <f>SIM_BASE!G24</f>
        <v>7.7279261309773712</v>
      </c>
      <c r="AQ73" s="95">
        <f t="shared" si="82"/>
        <v>139.88052020799137</v>
      </c>
      <c r="AR73" s="75">
        <f>SIM_BASE!H24</f>
        <v>1139.419906054442</v>
      </c>
      <c r="AS73" s="74">
        <f>SIM_BASE!K24</f>
        <v>26.161685285991801</v>
      </c>
      <c r="AT73" s="74">
        <f>SIM_BASE!L24</f>
        <v>57.628032535832332</v>
      </c>
      <c r="AU73" s="74">
        <f>SIM_BASE!M24</f>
        <v>6.1490042515185834</v>
      </c>
      <c r="AV73" s="95">
        <f t="shared" si="83"/>
        <v>89.938722073342717</v>
      </c>
      <c r="AW73" s="74">
        <f>SIM_BASE!N24</f>
        <v>24.703602215158948</v>
      </c>
      <c r="AX73" s="74">
        <f>SIM_BASE!O24</f>
        <v>1078.4170487245499</v>
      </c>
      <c r="AY73" s="98">
        <f t="shared" si="84"/>
        <v>1103.1206509397089</v>
      </c>
      <c r="AZ73" s="72">
        <f>SIM_BASE!V24</f>
        <v>18.762776307092768</v>
      </c>
      <c r="BA73" s="72">
        <f>SIM_BASE!W24</f>
        <v>29.602099948097081</v>
      </c>
      <c r="BB73" s="72">
        <f>SIM_BASE!X24</f>
        <v>1.5799218794587868</v>
      </c>
      <c r="BC73" s="88">
        <f t="shared" si="85"/>
        <v>49.944798134648636</v>
      </c>
      <c r="BD73" s="73">
        <f>SIM_BASE!Y24</f>
        <v>36.300255114733261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86"/>
        <v>3.0000000000000001E-3</v>
      </c>
      <c r="BI73" s="75">
        <f>SIM_BASE!U24</f>
        <v>1E-3</v>
      </c>
      <c r="BJ73" s="72">
        <f t="shared" si="68"/>
        <v>-2.0000000000083276E-3</v>
      </c>
      <c r="BK73" s="72">
        <f t="shared" si="69"/>
        <v>-1.9999999999941167E-3</v>
      </c>
      <c r="BL73" s="72">
        <f t="shared" si="70"/>
        <v>-1.9999999999990017E-3</v>
      </c>
      <c r="BM73" s="88">
        <f t="shared" si="87"/>
        <v>-6.000000000001446E-3</v>
      </c>
      <c r="BN73" s="73">
        <f t="shared" si="71"/>
        <v>-2.0000000001468834E-3</v>
      </c>
      <c r="BO73" s="74">
        <f>SIM_BASE!AB24</f>
        <v>131225.34645291159</v>
      </c>
      <c r="BP73" s="74">
        <f>SIM_BASE!AC24</f>
        <v>98664.07546335482</v>
      </c>
      <c r="BQ73" s="74">
        <f>SIM_BASE!AD24</f>
        <v>92930.407171425322</v>
      </c>
      <c r="BR73" s="95">
        <f t="shared" si="88"/>
        <v>107743.60599938902</v>
      </c>
      <c r="BS73" s="75">
        <f>SIM_BASE!AE24</f>
        <v>7730.5474560407501</v>
      </c>
    </row>
    <row r="74" spans="1:71" x14ac:dyDescent="0.3">
      <c r="A74" s="353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53">
        <v>5</v>
      </c>
      <c r="AL74" s="81">
        <v>2021</v>
      </c>
      <c r="AM74" s="81" t="s">
        <v>4</v>
      </c>
      <c r="AN74" s="74">
        <f>SIM_BASE!E31</f>
        <v>46.282291996328439</v>
      </c>
      <c r="AO74" s="74">
        <f>SIM_BASE!F31</f>
        <v>91.394454807956379</v>
      </c>
      <c r="AP74" s="74">
        <f>SIM_BASE!G31</f>
        <v>8.2043540768906826</v>
      </c>
      <c r="AQ74" s="95">
        <f t="shared" si="82"/>
        <v>145.88110088117551</v>
      </c>
      <c r="AR74" s="75">
        <f>SIM_BASE!H31</f>
        <v>1189.6584210634139</v>
      </c>
      <c r="AS74" s="74">
        <f>SIM_BASE!K31</f>
        <v>26.617263636247262</v>
      </c>
      <c r="AT74" s="74">
        <f>SIM_BASE!L31</f>
        <v>60.276143577276315</v>
      </c>
      <c r="AU74" s="74">
        <f>SIM_BASE!M31</f>
        <v>6.5741213551901012</v>
      </c>
      <c r="AV74" s="95">
        <f t="shared" si="83"/>
        <v>93.467528568713675</v>
      </c>
      <c r="AW74" s="74">
        <f>SIM_BASE!N31</f>
        <v>26.366093256420342</v>
      </c>
      <c r="AX74" s="74">
        <f>SIM_BASE!O31</f>
        <v>1133.8317483910209</v>
      </c>
      <c r="AY74" s="98">
        <f t="shared" si="84"/>
        <v>1160.1978416474412</v>
      </c>
      <c r="AZ74" s="72">
        <f>SIM_BASE!V31</f>
        <v>19.666028360081178</v>
      </c>
      <c r="BA74" s="72">
        <f>SIM_BASE!W31</f>
        <v>31.119311230680072</v>
      </c>
      <c r="BB74" s="72">
        <f>SIM_BASE!X31</f>
        <v>1.6312327217005798</v>
      </c>
      <c r="BC74" s="88">
        <f t="shared" si="85"/>
        <v>52.416572312461831</v>
      </c>
      <c r="BD74" s="73">
        <f>SIM_BASE!Y31</f>
        <v>29.461579415972714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86"/>
        <v>3.0000000000000001E-3</v>
      </c>
      <c r="BI74" s="75">
        <f>SIM_BASE!U31</f>
        <v>1E-3</v>
      </c>
      <c r="BJ74" s="72">
        <f t="shared" si="68"/>
        <v>-2.0000000000012222E-3</v>
      </c>
      <c r="BK74" s="72">
        <f t="shared" si="69"/>
        <v>-2.0000000000083276E-3</v>
      </c>
      <c r="BL74" s="72">
        <f t="shared" si="70"/>
        <v>-1.9999999999983356E-3</v>
      </c>
      <c r="BM74" s="88">
        <f t="shared" si="87"/>
        <v>-6.0000000000078853E-3</v>
      </c>
      <c r="BN74" s="73">
        <f t="shared" si="71"/>
        <v>-2.0000000000260912E-3</v>
      </c>
      <c r="BO74" s="74">
        <f>SIM_BASE!AB31</f>
        <v>138642.3645010523</v>
      </c>
      <c r="BP74" s="74">
        <f>SIM_BASE!AC31</f>
        <v>102053.82021048633</v>
      </c>
      <c r="BQ74" s="74">
        <f>SIM_BASE!AD31</f>
        <v>95565.127198396731</v>
      </c>
      <c r="BR74" s="95">
        <f t="shared" si="88"/>
        <v>112016.953807903</v>
      </c>
      <c r="BS74" s="75">
        <f>SIM_BASE!AE31</f>
        <v>7997.9935872716987</v>
      </c>
    </row>
    <row r="75" spans="1:71" x14ac:dyDescent="0.3">
      <c r="A75" s="353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53">
        <v>5</v>
      </c>
      <c r="AL75" s="81">
        <v>2022</v>
      </c>
      <c r="AM75" s="81" t="s">
        <v>4</v>
      </c>
      <c r="AN75" s="74">
        <f>SIM_BASE!E38</f>
        <v>47.685031514159085</v>
      </c>
      <c r="AO75" s="74">
        <f>SIM_BASE!F38</f>
        <v>96.352678937910383</v>
      </c>
      <c r="AP75" s="74">
        <f>SIM_BASE!G38</f>
        <v>8.7817903000155475</v>
      </c>
      <c r="AQ75" s="95">
        <f t="shared" si="82"/>
        <v>152.81950075208502</v>
      </c>
      <c r="AR75" s="75">
        <f>SIM_BASE!H38</f>
        <v>1244.601848640028</v>
      </c>
      <c r="AS75" s="74">
        <f>SIM_BASE!K38</f>
        <v>27.073156099469184</v>
      </c>
      <c r="AT75" s="74">
        <f>SIM_BASE!L38</f>
        <v>63.347109417180242</v>
      </c>
      <c r="AU75" s="74">
        <f>SIM_BASE!M38</f>
        <v>7.0922616867340951</v>
      </c>
      <c r="AV75" s="95">
        <f t="shared" si="83"/>
        <v>97.512527203383513</v>
      </c>
      <c r="AW75" s="74">
        <f>SIM_BASE!N38</f>
        <v>27.927936542838076</v>
      </c>
      <c r="AX75" s="74">
        <f>SIM_BASE!O38</f>
        <v>1195.8561853473557</v>
      </c>
      <c r="AY75" s="98">
        <f t="shared" si="84"/>
        <v>1223.7841218901938</v>
      </c>
      <c r="AZ75" s="72">
        <f>SIM_BASE!V38</f>
        <v>20.612875414689903</v>
      </c>
      <c r="BA75" s="72">
        <f>SIM_BASE!W38</f>
        <v>33.006569520730139</v>
      </c>
      <c r="BB75" s="72">
        <f>SIM_BASE!X38</f>
        <v>1.6905286132814523</v>
      </c>
      <c r="BC75" s="88">
        <f t="shared" si="85"/>
        <v>55.309973548701493</v>
      </c>
      <c r="BD75" s="73">
        <f>SIM_BASE!Y38</f>
        <v>27.867724945977965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86"/>
        <v>3.0000000000000001E-3</v>
      </c>
      <c r="BI75" s="75">
        <f>SIM_BASE!U38</f>
        <v>-7.0479981961435465</v>
      </c>
      <c r="BJ75" s="72">
        <f t="shared" ref="BJ75:BJ108" si="111">AN75-AS75-AZ75-BE75</f>
        <v>-2.0000000000012222E-3</v>
      </c>
      <c r="BK75" s="72">
        <f t="shared" ref="BK75:BK108" si="112">AO75-AT75-BA75-BF75</f>
        <v>-1.9999999999976694E-3</v>
      </c>
      <c r="BL75" s="72">
        <f t="shared" ref="BL75:BL108" si="113">AP75-AU75-BB75-BG75</f>
        <v>-1.9999999999998899E-3</v>
      </c>
      <c r="BM75" s="88">
        <f t="shared" si="87"/>
        <v>-5.9999999999987815E-3</v>
      </c>
      <c r="BN75" s="73">
        <f t="shared" ref="BN75:BN108" si="114">AR75-AW75-AX75-BD75-BI75</f>
        <v>-2.0000000001543228E-3</v>
      </c>
      <c r="BO75" s="74">
        <f>SIM_BASE!AB38</f>
        <v>146328.07495103148</v>
      </c>
      <c r="BP75" s="74">
        <f>SIM_BASE!AC38</f>
        <v>104885.18452448482</v>
      </c>
      <c r="BQ75" s="74">
        <f>SIM_BASE!AD38</f>
        <v>97356.92188184768</v>
      </c>
      <c r="BR75" s="95">
        <f t="shared" si="88"/>
        <v>115843.75019466027</v>
      </c>
      <c r="BS75" s="75">
        <f>SIM_BASE!AE38</f>
        <v>8262.3462290024563</v>
      </c>
    </row>
    <row r="76" spans="1:71" x14ac:dyDescent="0.3">
      <c r="A76" s="353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53">
        <v>5</v>
      </c>
      <c r="AL76" s="81">
        <v>2023</v>
      </c>
      <c r="AM76" s="81" t="s">
        <v>4</v>
      </c>
      <c r="AN76" s="74">
        <f>SIM_BASE!E45</f>
        <v>49.102999116297624</v>
      </c>
      <c r="AO76" s="74">
        <f>SIM_BASE!F45</f>
        <v>102.15933750946337</v>
      </c>
      <c r="AP76" s="74">
        <f>SIM_BASE!G45</f>
        <v>9.4753166103113706</v>
      </c>
      <c r="AQ76" s="95">
        <f t="shared" si="82"/>
        <v>160.73765323607239</v>
      </c>
      <c r="AR76" s="75">
        <f>SIM_BASE!H45</f>
        <v>1305.7514052291747</v>
      </c>
      <c r="AS76" s="74">
        <f>SIM_BASE!K45</f>
        <v>27.551142640362293</v>
      </c>
      <c r="AT76" s="74">
        <f>SIM_BASE!L45</f>
        <v>66.926240505966561</v>
      </c>
      <c r="AU76" s="74">
        <f>SIM_BASE!M45</f>
        <v>7.718679345343654</v>
      </c>
      <c r="AV76" s="95">
        <f t="shared" si="83"/>
        <v>102.19606249167252</v>
      </c>
      <c r="AW76" s="74">
        <f>SIM_BASE!N45</f>
        <v>29.336058028327315</v>
      </c>
      <c r="AX76" s="74">
        <f>SIM_BASE!O45</f>
        <v>1263.5410934089261</v>
      </c>
      <c r="AY76" s="98">
        <f t="shared" si="84"/>
        <v>1292.8771514372534</v>
      </c>
      <c r="AZ76" s="72">
        <f>SIM_BASE!V45</f>
        <v>21.552856475935304</v>
      </c>
      <c r="BA76" s="72">
        <f>SIM_BASE!W45</f>
        <v>35.234097003496792</v>
      </c>
      <c r="BB76" s="72">
        <f>SIM_BASE!X45</f>
        <v>1.7576372649677179</v>
      </c>
      <c r="BC76" s="88">
        <f t="shared" si="85"/>
        <v>58.544590744399819</v>
      </c>
      <c r="BD76" s="73">
        <f>SIM_BASE!Y45</f>
        <v>27.989831792947211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86"/>
        <v>3.0000000000000001E-3</v>
      </c>
      <c r="BI76" s="75">
        <f>SIM_BASE!U45</f>
        <v>-15.113578001025839</v>
      </c>
      <c r="BJ76" s="72">
        <f t="shared" si="111"/>
        <v>-1.9999999999728004E-3</v>
      </c>
      <c r="BK76" s="72">
        <f t="shared" si="112"/>
        <v>-1.9999999999834586E-3</v>
      </c>
      <c r="BL76" s="72">
        <f t="shared" si="113"/>
        <v>-2.0000000000012222E-3</v>
      </c>
      <c r="BM76" s="88">
        <f t="shared" si="87"/>
        <v>-5.9999999999574812E-3</v>
      </c>
      <c r="BN76" s="73">
        <f t="shared" si="114"/>
        <v>-2.0000000000521823E-3</v>
      </c>
      <c r="BO76" s="74">
        <f>SIM_BASE!AB45</f>
        <v>154106.21532700604</v>
      </c>
      <c r="BP76" s="74">
        <f>SIM_BASE!AC45</f>
        <v>107013.80035858505</v>
      </c>
      <c r="BQ76" s="74">
        <f>SIM_BASE!AD45</f>
        <v>98240.350280875122</v>
      </c>
      <c r="BR76" s="95">
        <f t="shared" si="88"/>
        <v>119046.85098880947</v>
      </c>
      <c r="BS76" s="75">
        <f>SIM_BASE!AE45</f>
        <v>8520.9666164537466</v>
      </c>
    </row>
    <row r="77" spans="1:71" x14ac:dyDescent="0.3">
      <c r="A77" s="353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53">
        <v>5</v>
      </c>
      <c r="AL77" s="81">
        <v>2024</v>
      </c>
      <c r="AM77" s="81" t="s">
        <v>4</v>
      </c>
      <c r="AN77" s="74">
        <f>SIM_BASE!E52</f>
        <v>50.624612214626197</v>
      </c>
      <c r="AO77" s="74">
        <f>SIM_BASE!F52</f>
        <v>108.90045956847337</v>
      </c>
      <c r="AP77" s="74">
        <f>SIM_BASE!G52</f>
        <v>10.305516702487838</v>
      </c>
      <c r="AQ77" s="95">
        <f t="shared" si="82"/>
        <v>169.83058848558741</v>
      </c>
      <c r="AR77" s="75">
        <f>SIM_BASE!H52</f>
        <v>1375.6177862944651</v>
      </c>
      <c r="AS77" s="74">
        <f>SIM_BASE!K52</f>
        <v>27.98485043620196</v>
      </c>
      <c r="AT77" s="74">
        <f>SIM_BASE!L52</f>
        <v>71.104303625524636</v>
      </c>
      <c r="AU77" s="74">
        <f>SIM_BASE!M52</f>
        <v>8.4733069212719787</v>
      </c>
      <c r="AV77" s="95">
        <f t="shared" si="83"/>
        <v>107.56246098299857</v>
      </c>
      <c r="AW77" s="74">
        <f>SIM_BASE!N52</f>
        <v>30.560378953969927</v>
      </c>
      <c r="AX77" s="74">
        <f>SIM_BASE!O52</f>
        <v>1337.4028465529764</v>
      </c>
      <c r="AY77" s="98">
        <f t="shared" si="84"/>
        <v>1367.9632255069464</v>
      </c>
      <c r="AZ77" s="72">
        <f>SIM_BASE!V52</f>
        <v>22.640761778424238</v>
      </c>
      <c r="BA77" s="72">
        <f>SIM_BASE!W52</f>
        <v>37.797155942948741</v>
      </c>
      <c r="BB77" s="72">
        <f>SIM_BASE!X52</f>
        <v>1.8332097812158585</v>
      </c>
      <c r="BC77" s="88">
        <f t="shared" si="85"/>
        <v>62.27112750258884</v>
      </c>
      <c r="BD77" s="73">
        <f>SIM_BASE!Y52</f>
        <v>30.823044982847712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86"/>
        <v>3.0000000000000001E-3</v>
      </c>
      <c r="BI77" s="75">
        <f>SIM_BASE!U52</f>
        <v>-23.166484195329083</v>
      </c>
      <c r="BJ77" s="72">
        <f t="shared" si="111"/>
        <v>-2.0000000000012222E-3</v>
      </c>
      <c r="BK77" s="72">
        <f t="shared" si="112"/>
        <v>-2.0000000000118803E-3</v>
      </c>
      <c r="BL77" s="72">
        <f t="shared" si="113"/>
        <v>-1.9999999999996678E-3</v>
      </c>
      <c r="BM77" s="88">
        <f t="shared" si="87"/>
        <v>-6.0000000000127703E-3</v>
      </c>
      <c r="BN77" s="73">
        <f t="shared" si="114"/>
        <v>-1.9999999999527063E-3</v>
      </c>
      <c r="BO77" s="74">
        <f>SIM_BASE!AB52</f>
        <v>162415.83107999695</v>
      </c>
      <c r="BP77" s="74">
        <f>SIM_BASE!AC52</f>
        <v>108365.78496279422</v>
      </c>
      <c r="BQ77" s="74">
        <f>SIM_BASE!AD52</f>
        <v>98185.734576932155</v>
      </c>
      <c r="BR77" s="95">
        <f t="shared" si="88"/>
        <v>121626.20827620057</v>
      </c>
      <c r="BS77" s="75">
        <f>SIM_BASE!AE52</f>
        <v>8789.5272478645329</v>
      </c>
    </row>
    <row r="78" spans="1:71" x14ac:dyDescent="0.3">
      <c r="A78" s="353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53">
        <v>5</v>
      </c>
      <c r="AL78" s="81">
        <v>2025</v>
      </c>
      <c r="AM78" s="81" t="s">
        <v>4</v>
      </c>
      <c r="AN78" s="74">
        <f>SIM_BASE!E59</f>
        <v>52.213219087566337</v>
      </c>
      <c r="AO78" s="74">
        <f>SIM_BASE!F59</f>
        <v>116.68605678544245</v>
      </c>
      <c r="AP78" s="74">
        <f>SIM_BASE!G59</f>
        <v>11.297717780346527</v>
      </c>
      <c r="AQ78" s="95">
        <f t="shared" si="82"/>
        <v>180.19699365335529</v>
      </c>
      <c r="AR78" s="75">
        <f>SIM_BASE!H59</f>
        <v>1455.2643544263669</v>
      </c>
      <c r="AS78" s="74">
        <f>SIM_BASE!K59</f>
        <v>28.403881917211606</v>
      </c>
      <c r="AT78" s="74">
        <f>SIM_BASE!L59</f>
        <v>75.989564138732291</v>
      </c>
      <c r="AU78" s="74">
        <f>SIM_BASE!M59</f>
        <v>9.3836303642637215</v>
      </c>
      <c r="AV78" s="95">
        <f t="shared" si="83"/>
        <v>113.77707642020762</v>
      </c>
      <c r="AW78" s="74">
        <f>SIM_BASE!N59</f>
        <v>31.548080439296417</v>
      </c>
      <c r="AX78" s="74">
        <f>SIM_BASE!O59</f>
        <v>1417.7217566147258</v>
      </c>
      <c r="AY78" s="98">
        <f t="shared" si="84"/>
        <v>1449.2698370540222</v>
      </c>
      <c r="AZ78" s="72">
        <f>SIM_BASE!V59</f>
        <v>23.810337170354739</v>
      </c>
      <c r="BA78" s="72">
        <f>SIM_BASE!W59</f>
        <v>40.697492646709996</v>
      </c>
      <c r="BB78" s="72">
        <f>SIM_BASE!X59</f>
        <v>1.9150874160828053</v>
      </c>
      <c r="BC78" s="88">
        <f t="shared" si="85"/>
        <v>66.42291723314753</v>
      </c>
      <c r="BD78" s="73">
        <f>SIM_BASE!Y59</f>
        <v>37.285271713632532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86"/>
        <v>3.0000000000000001E-3</v>
      </c>
      <c r="BI78" s="75">
        <f>SIM_BASE!U59</f>
        <v>-31.28875434128804</v>
      </c>
      <c r="BJ78" s="72">
        <f t="shared" si="111"/>
        <v>-2.0000000000083276E-3</v>
      </c>
      <c r="BK78" s="72">
        <f t="shared" si="112"/>
        <v>-1.99999999984135E-3</v>
      </c>
      <c r="BL78" s="72">
        <f t="shared" si="113"/>
        <v>-1.9999999999994458E-3</v>
      </c>
      <c r="BM78" s="88">
        <f t="shared" si="87"/>
        <v>-5.9999999998491234E-3</v>
      </c>
      <c r="BN78" s="73">
        <f t="shared" si="114"/>
        <v>-1.9999999997750706E-3</v>
      </c>
      <c r="BO78" s="74">
        <f>SIM_BASE!AB59</f>
        <v>171069.84742623512</v>
      </c>
      <c r="BP78" s="74">
        <f>SIM_BASE!AC59</f>
        <v>108875.50960747768</v>
      </c>
      <c r="BQ78" s="74">
        <f>SIM_BASE!AD59</f>
        <v>97211.082473128379</v>
      </c>
      <c r="BR78" s="95">
        <f t="shared" si="88"/>
        <v>123440.00719188934</v>
      </c>
      <c r="BS78" s="75">
        <f>SIM_BASE!AE59</f>
        <v>9068.4359964008254</v>
      </c>
    </row>
    <row r="79" spans="1:71" x14ac:dyDescent="0.3">
      <c r="A79" s="353">
        <v>5</v>
      </c>
      <c r="B79" s="81">
        <v>2026</v>
      </c>
      <c r="C79" s="81" t="s">
        <v>4</v>
      </c>
      <c r="D79" s="74">
        <v>53.31498349292194</v>
      </c>
      <c r="E79" s="74">
        <v>117.77038583489332</v>
      </c>
      <c r="F79" s="74">
        <v>12.425757110912711</v>
      </c>
      <c r="G79" s="95">
        <v>183.51112643872798</v>
      </c>
      <c r="H79" s="75">
        <v>1516.5063230532323</v>
      </c>
      <c r="I79" s="74">
        <v>36.091923630699974</v>
      </c>
      <c r="J79" s="74">
        <v>90.002087501218398</v>
      </c>
      <c r="K79" s="74">
        <v>10.450541485462129</v>
      </c>
      <c r="L79" s="95">
        <v>136.5445526173805</v>
      </c>
      <c r="M79" s="74">
        <v>24.673616475391427</v>
      </c>
      <c r="N79" s="74">
        <v>1330.8611621926104</v>
      </c>
      <c r="O79" s="98">
        <v>1355.5347786680018</v>
      </c>
      <c r="P79" s="72">
        <v>17.224059862221971</v>
      </c>
      <c r="Q79" s="72">
        <v>27.7692983336749</v>
      </c>
      <c r="R79" s="72">
        <v>1.97621562545058</v>
      </c>
      <c r="S79" s="88">
        <v>46.969573821347453</v>
      </c>
      <c r="T79" s="73">
        <v>160.97254438523052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-2.0000000000047749E-3</v>
      </c>
      <c r="AA79" s="72">
        <v>-1.9999999999799059E-3</v>
      </c>
      <c r="AB79" s="72">
        <v>-1.9999999999976694E-3</v>
      </c>
      <c r="AC79" s="88">
        <v>-5.9999999999823502E-3</v>
      </c>
      <c r="AD79" s="73">
        <v>-1.9999999999479314E-3</v>
      </c>
      <c r="AE79" s="74">
        <v>133638.09800436441</v>
      </c>
      <c r="AF79" s="74">
        <v>93783.359691802674</v>
      </c>
      <c r="AG79" s="74">
        <v>91851.881419274476</v>
      </c>
      <c r="AH79" s="95">
        <v>104170.07340902685</v>
      </c>
      <c r="AI79" s="75">
        <v>9334.0651237506518</v>
      </c>
      <c r="AK79" s="353">
        <v>5</v>
      </c>
      <c r="AL79" s="81">
        <v>2026</v>
      </c>
      <c r="AM79" s="81" t="s">
        <v>4</v>
      </c>
      <c r="AN79" s="74">
        <f>SIM_BASE!E66</f>
        <v>50.206749399008338</v>
      </c>
      <c r="AO79" s="74">
        <f>SIM_BASE!F66</f>
        <v>125.88189112827844</v>
      </c>
      <c r="AP79" s="74">
        <f>SIM_BASE!G66</f>
        <v>12.494187611530418</v>
      </c>
      <c r="AQ79" s="95">
        <f t="shared" si="82"/>
        <v>188.58282813881718</v>
      </c>
      <c r="AR79" s="75">
        <f>SIM_BASE!H66</f>
        <v>1549.2040567512761</v>
      </c>
      <c r="AS79" s="74">
        <f>SIM_BASE!K66</f>
        <v>26.955276029288974</v>
      </c>
      <c r="AT79" s="74">
        <f>SIM_BASE!L66</f>
        <v>81.625754159396394</v>
      </c>
      <c r="AU79" s="74">
        <f>SIM_BASE!M66</f>
        <v>10.495237351460441</v>
      </c>
      <c r="AV79" s="95">
        <f t="shared" si="83"/>
        <v>119.07626754014581</v>
      </c>
      <c r="AW79" s="74">
        <f>SIM_BASE!N66</f>
        <v>34.141059322235137</v>
      </c>
      <c r="AX79" s="74">
        <f>SIM_BASE!O66</f>
        <v>1505.8566999639784</v>
      </c>
      <c r="AY79" s="98">
        <f t="shared" si="84"/>
        <v>1539.9977592862135</v>
      </c>
      <c r="AZ79" s="72">
        <f>SIM_BASE!V66</f>
        <v>23.252473369719354</v>
      </c>
      <c r="BA79" s="72">
        <f>SIM_BASE!W66</f>
        <v>44.25713696888203</v>
      </c>
      <c r="BB79" s="72">
        <f>SIM_BASE!X66</f>
        <v>1.9999502600699788</v>
      </c>
      <c r="BC79" s="88">
        <f t="shared" si="85"/>
        <v>69.509560598671371</v>
      </c>
      <c r="BD79" s="73">
        <f>SIM_BASE!Y66</f>
        <v>58.076699593039045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86"/>
        <v>3.0000000000000001E-3</v>
      </c>
      <c r="BI79" s="75">
        <f>SIM_BASE!U66</f>
        <v>-48.86840212797631</v>
      </c>
      <c r="BJ79" s="72">
        <f t="shared" si="111"/>
        <v>-1.999999999990564E-3</v>
      </c>
      <c r="BK79" s="72">
        <f t="shared" si="112"/>
        <v>-1.9999999999834586E-3</v>
      </c>
      <c r="BL79" s="72">
        <f t="shared" si="113"/>
        <v>-2.0000000000018883E-3</v>
      </c>
      <c r="BM79" s="88">
        <f t="shared" si="87"/>
        <v>-5.9999999999759109E-3</v>
      </c>
      <c r="BN79" s="73">
        <f t="shared" si="114"/>
        <v>-2.0000000001729745E-3</v>
      </c>
      <c r="BO79" s="74">
        <f>SIM_BASE!AB66</f>
        <v>195806.90954494479</v>
      </c>
      <c r="BP79" s="74">
        <f>SIM_BASE!AC66</f>
        <v>109593.02352516406</v>
      </c>
      <c r="BQ79" s="74">
        <f>SIM_BASE!AD66</f>
        <v>96093.910543778882</v>
      </c>
      <c r="BR79" s="95">
        <f t="shared" si="88"/>
        <v>127919.45200270516</v>
      </c>
      <c r="BS79" s="75">
        <f>SIM_BASE!AE66</f>
        <v>9345.7665206299462</v>
      </c>
    </row>
    <row r="80" spans="1:71" x14ac:dyDescent="0.3">
      <c r="A80" s="353">
        <v>5</v>
      </c>
      <c r="B80" s="81">
        <v>2027</v>
      </c>
      <c r="C80" s="81" t="s">
        <v>4</v>
      </c>
      <c r="D80" s="74">
        <v>50.824384594838818</v>
      </c>
      <c r="E80" s="74">
        <v>127.66569105740771</v>
      </c>
      <c r="F80" s="74">
        <v>13.854342940162368</v>
      </c>
      <c r="G80" s="95">
        <v>192.34441859240889</v>
      </c>
      <c r="H80" s="75">
        <v>1621.8311449281143</v>
      </c>
      <c r="I80" s="74">
        <v>33.978592104229492</v>
      </c>
      <c r="J80" s="74">
        <v>97.283430878292123</v>
      </c>
      <c r="K80" s="74">
        <v>11.789274150358999</v>
      </c>
      <c r="L80" s="95">
        <v>143.05129713288062</v>
      </c>
      <c r="M80" s="74">
        <v>26.63143798158697</v>
      </c>
      <c r="N80" s="74">
        <v>1415.0036730424447</v>
      </c>
      <c r="O80" s="98">
        <v>1441.6351110240316</v>
      </c>
      <c r="P80" s="72">
        <v>16.846792490609339</v>
      </c>
      <c r="Q80" s="72">
        <v>30.383260179115585</v>
      </c>
      <c r="R80" s="72">
        <v>2.0660687898033685</v>
      </c>
      <c r="S80" s="88">
        <v>49.296121459528294</v>
      </c>
      <c r="T80" s="73">
        <v>180.19703390408253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-2.0000000000118803E-3</v>
      </c>
      <c r="AA80" s="72">
        <v>-1.9999999999941167E-3</v>
      </c>
      <c r="AB80" s="72">
        <v>-1.9999999999990017E-3</v>
      </c>
      <c r="AC80" s="88">
        <v>-6.0000000000049987E-3</v>
      </c>
      <c r="AD80" s="73">
        <v>-1.9999999998342446E-3</v>
      </c>
      <c r="AE80" s="74">
        <v>154287.2800168127</v>
      </c>
      <c r="AF80" s="74">
        <v>93699.807798520225</v>
      </c>
      <c r="AG80" s="74">
        <v>90033.831129266124</v>
      </c>
      <c r="AH80" s="95">
        <v>107788.86425270168</v>
      </c>
      <c r="AI80" s="75">
        <v>9621.7987598856325</v>
      </c>
      <c r="AK80" s="353">
        <v>5</v>
      </c>
      <c r="AL80" s="81">
        <v>2027</v>
      </c>
      <c r="AM80" s="81" t="s">
        <v>4</v>
      </c>
      <c r="AN80" s="74">
        <f>SIM_BASE!E73</f>
        <v>47.794658659477619</v>
      </c>
      <c r="AO80" s="74">
        <f>SIM_BASE!F73</f>
        <v>136.45553776649655</v>
      </c>
      <c r="AP80" s="74">
        <f>SIM_BASE!G73</f>
        <v>13.931443455745491</v>
      </c>
      <c r="AQ80" s="95">
        <f t="shared" si="82"/>
        <v>198.18163988171966</v>
      </c>
      <c r="AR80" s="75">
        <f>SIM_BASE!H73</f>
        <v>1656.5057418635652</v>
      </c>
      <c r="AS80" s="74">
        <f>SIM_BASE!K73</f>
        <v>25.397424141982547</v>
      </c>
      <c r="AT80" s="74">
        <f>SIM_BASE!L73</f>
        <v>88.251214602984007</v>
      </c>
      <c r="AU80" s="74">
        <f>SIM_BASE!M73</f>
        <v>11.840623297586726</v>
      </c>
      <c r="AV80" s="95">
        <f t="shared" si="83"/>
        <v>125.48926204255328</v>
      </c>
      <c r="AW80" s="74">
        <f>SIM_BASE!N73</f>
        <v>36.819851262065178</v>
      </c>
      <c r="AX80" s="74">
        <f>SIM_BASE!O73</f>
        <v>1604.3661379721148</v>
      </c>
      <c r="AY80" s="98">
        <f t="shared" si="84"/>
        <v>1641.1859892341799</v>
      </c>
      <c r="AZ80" s="72">
        <f>SIM_BASE!V73</f>
        <v>22.398234517495066</v>
      </c>
      <c r="BA80" s="72">
        <f>SIM_BASE!W73</f>
        <v>48.205323163512539</v>
      </c>
      <c r="BB80" s="72">
        <f>SIM_BASE!X73</f>
        <v>2.0918201581587645</v>
      </c>
      <c r="BC80" s="88">
        <f t="shared" si="85"/>
        <v>72.695377839166369</v>
      </c>
      <c r="BD80" s="73">
        <f>SIM_BASE!Y73</f>
        <v>83.87779331375296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86"/>
        <v>3.0000000000000001E-3</v>
      </c>
      <c r="BI80" s="75">
        <f>SIM_BASE!U73</f>
        <v>-68.556040684367673</v>
      </c>
      <c r="BJ80" s="72">
        <f t="shared" si="111"/>
        <v>-1.9999999999941167E-3</v>
      </c>
      <c r="BK80" s="72">
        <f t="shared" si="112"/>
        <v>-1.9999999999976694E-3</v>
      </c>
      <c r="BL80" s="72">
        <f t="shared" si="113"/>
        <v>-1.9999999999994458E-3</v>
      </c>
      <c r="BM80" s="88">
        <f t="shared" si="87"/>
        <v>-5.999999999991232E-3</v>
      </c>
      <c r="BN80" s="73">
        <f t="shared" si="114"/>
        <v>-2.0000000000663931E-3</v>
      </c>
      <c r="BO80" s="74">
        <f>SIM_BASE!AB73</f>
        <v>225829.09192387547</v>
      </c>
      <c r="BP80" s="74">
        <f>SIM_BASE!AC73</f>
        <v>109459.00866685776</v>
      </c>
      <c r="BQ80" s="74">
        <f>SIM_BASE!AD73</f>
        <v>94187.080126897199</v>
      </c>
      <c r="BR80" s="95">
        <f t="shared" si="88"/>
        <v>131569.83443700275</v>
      </c>
      <c r="BS80" s="75">
        <f>SIM_BASE!AE73</f>
        <v>9633.287720817023</v>
      </c>
    </row>
    <row r="81" spans="1:71" x14ac:dyDescent="0.3">
      <c r="A81" s="353">
        <v>5</v>
      </c>
      <c r="B81" s="81">
        <v>2028</v>
      </c>
      <c r="C81" s="81" t="s">
        <v>4</v>
      </c>
      <c r="D81" s="74">
        <v>48.065234085877925</v>
      </c>
      <c r="E81" s="74">
        <v>139.21771399921846</v>
      </c>
      <c r="F81" s="74">
        <v>15.816858450399303</v>
      </c>
      <c r="G81" s="95">
        <v>203.0998065354957</v>
      </c>
      <c r="H81" s="75">
        <v>1746.5708495499571</v>
      </c>
      <c r="I81" s="74">
        <v>31.672165969552466</v>
      </c>
      <c r="J81" s="74">
        <v>105.69347746388573</v>
      </c>
      <c r="K81" s="74">
        <v>13.190108290694111</v>
      </c>
      <c r="L81" s="95">
        <v>150.55575172413231</v>
      </c>
      <c r="M81" s="74">
        <v>28.791965356877633</v>
      </c>
      <c r="N81" s="74">
        <v>1517.0581947483188</v>
      </c>
      <c r="O81" s="98">
        <v>1545.8501601051964</v>
      </c>
      <c r="P81" s="72">
        <v>16.394068116325467</v>
      </c>
      <c r="Q81" s="72">
        <v>33.525236535332731</v>
      </c>
      <c r="R81" s="72">
        <v>2.6277501597051907</v>
      </c>
      <c r="S81" s="88">
        <v>52.547054811363388</v>
      </c>
      <c r="T81" s="73">
        <v>215.66077995951704</v>
      </c>
      <c r="U81" s="72">
        <v>1E-3</v>
      </c>
      <c r="V81" s="72">
        <v>1E-3</v>
      </c>
      <c r="W81" s="72">
        <v>1E-3</v>
      </c>
      <c r="X81" s="88">
        <v>3.0000000000000001E-3</v>
      </c>
      <c r="Y81" s="75">
        <v>-14.938090514756423</v>
      </c>
      <c r="Z81" s="72">
        <v>-2.0000000000083276E-3</v>
      </c>
      <c r="AA81" s="72">
        <v>-1.9999999999976694E-3</v>
      </c>
      <c r="AB81" s="72">
        <v>-1.9999999999981135E-3</v>
      </c>
      <c r="AC81" s="88">
        <v>-6.0000000000041106E-3</v>
      </c>
      <c r="AD81" s="73">
        <v>-1.9999999999829043E-3</v>
      </c>
      <c r="AE81" s="74">
        <v>180215.13430795845</v>
      </c>
      <c r="AF81" s="74">
        <v>93183.812538848419</v>
      </c>
      <c r="AG81" s="74">
        <v>89339.893471994481</v>
      </c>
      <c r="AH81" s="95">
        <v>111155.68493749425</v>
      </c>
      <c r="AI81" s="75">
        <v>9933.9725721871182</v>
      </c>
      <c r="AK81" s="353">
        <v>5</v>
      </c>
      <c r="AL81" s="81">
        <v>2028</v>
      </c>
      <c r="AM81" s="81" t="s">
        <v>4</v>
      </c>
      <c r="AN81" s="74">
        <f>SIM_BASE!E80</f>
        <v>45.158935494305425</v>
      </c>
      <c r="AO81" s="74">
        <f>SIM_BASE!F80</f>
        <v>148.72498840104933</v>
      </c>
      <c r="AP81" s="74">
        <f>SIM_BASE!G80</f>
        <v>15.660731208556459</v>
      </c>
      <c r="AQ81" s="95">
        <f t="shared" si="82"/>
        <v>209.54465510391123</v>
      </c>
      <c r="AR81" s="75">
        <f>SIM_BASE!H80</f>
        <v>1779.0629630412025</v>
      </c>
      <c r="AS81" s="74">
        <f>SIM_BASE!K80</f>
        <v>23.676616538492439</v>
      </c>
      <c r="AT81" s="74">
        <f>SIM_BASE!L80</f>
        <v>95.957769174615379</v>
      </c>
      <c r="AU81" s="74">
        <f>SIM_BASE!M80</f>
        <v>13.476466889981886</v>
      </c>
      <c r="AV81" s="95">
        <f t="shared" si="83"/>
        <v>133.11085260308971</v>
      </c>
      <c r="AW81" s="74">
        <f>SIM_BASE!N80</f>
        <v>39.612832682868202</v>
      </c>
      <c r="AX81" s="74">
        <f>SIM_BASE!O80</f>
        <v>1718.179445125435</v>
      </c>
      <c r="AY81" s="98">
        <f t="shared" si="84"/>
        <v>1757.7922778083032</v>
      </c>
      <c r="AZ81" s="72">
        <f>SIM_BASE!V80</f>
        <v>21.483318955813012</v>
      </c>
      <c r="BA81" s="72">
        <f>SIM_BASE!W80</f>
        <v>52.768219226433906</v>
      </c>
      <c r="BB81" s="72">
        <f>SIM_BASE!X80</f>
        <v>2.1852643185745761</v>
      </c>
      <c r="BC81" s="88">
        <f t="shared" si="85"/>
        <v>76.4368025008215</v>
      </c>
      <c r="BD81" s="73">
        <f>SIM_BASE!Y80</f>
        <v>113.0530392970565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86"/>
        <v>3.0000000000000001E-3</v>
      </c>
      <c r="BI81" s="75">
        <f>SIM_BASE!U80</f>
        <v>-91.780354064156697</v>
      </c>
      <c r="BJ81" s="72">
        <f t="shared" si="111"/>
        <v>-2.0000000000260912E-3</v>
      </c>
      <c r="BK81" s="72">
        <f t="shared" si="112"/>
        <v>-1.9999999999550369E-3</v>
      </c>
      <c r="BL81" s="72">
        <f t="shared" si="113"/>
        <v>-2.0000000000025544E-3</v>
      </c>
      <c r="BM81" s="88">
        <f t="shared" si="87"/>
        <v>-5.9999999999836824E-3</v>
      </c>
      <c r="BN81" s="73">
        <f t="shared" si="114"/>
        <v>-2.0000000005353513E-3</v>
      </c>
      <c r="BO81" s="74">
        <f>SIM_BASE!AB80</f>
        <v>263484.51297827321</v>
      </c>
      <c r="BP81" s="74">
        <f>SIM_BASE!AC80</f>
        <v>108595.06465842813</v>
      </c>
      <c r="BQ81" s="74">
        <f>SIM_BASE!AD80</f>
        <v>91535.687246658272</v>
      </c>
      <c r="BR81" s="95">
        <f t="shared" si="88"/>
        <v>134418.33805540437</v>
      </c>
      <c r="BS81" s="75">
        <f>SIM_BASE!AE80</f>
        <v>9931.3691079611053</v>
      </c>
    </row>
    <row r="82" spans="1:71" x14ac:dyDescent="0.3">
      <c r="A82" s="503">
        <v>5</v>
      </c>
      <c r="B82" s="81">
        <v>2029</v>
      </c>
      <c r="C82" s="81" t="s">
        <v>4</v>
      </c>
      <c r="D82" s="74">
        <v>45.018367527760887</v>
      </c>
      <c r="E82" s="74">
        <v>152.60498350417777</v>
      </c>
      <c r="F82" s="74">
        <v>18.178013825508607</v>
      </c>
      <c r="G82" s="95">
        <v>215.80136485744725</v>
      </c>
      <c r="H82" s="75">
        <v>1888.0523984238848</v>
      </c>
      <c r="I82" s="74">
        <v>29.305008274463418</v>
      </c>
      <c r="J82" s="74">
        <v>115.57364902272332</v>
      </c>
      <c r="K82" s="74">
        <v>14.91976208849403</v>
      </c>
      <c r="L82" s="95">
        <v>159.79841938568077</v>
      </c>
      <c r="M82" s="74">
        <v>31.53667433156393</v>
      </c>
      <c r="N82" s="74">
        <v>1641.8393108922794</v>
      </c>
      <c r="O82" s="98">
        <v>1673.3759852238434</v>
      </c>
      <c r="P82" s="72">
        <v>15.714359253297459</v>
      </c>
      <c r="Q82" s="72">
        <v>37.032334481454448</v>
      </c>
      <c r="R82" s="72">
        <v>3.2155488312049396</v>
      </c>
      <c r="S82" s="88">
        <v>55.962242565956849</v>
      </c>
      <c r="T82" s="73">
        <v>253.98431060449832</v>
      </c>
      <c r="U82" s="72">
        <v>1E-3</v>
      </c>
      <c r="V82" s="72">
        <v>1E-3</v>
      </c>
      <c r="W82" s="72">
        <v>4.4702905809624639E-2</v>
      </c>
      <c r="X82" s="88">
        <v>4.6702905809624641E-2</v>
      </c>
      <c r="Y82" s="75">
        <v>-39.305897404456559</v>
      </c>
      <c r="Z82" s="72">
        <v>-1.999999999990564E-3</v>
      </c>
      <c r="AA82" s="72">
        <v>-1.9999999999976694E-3</v>
      </c>
      <c r="AB82" s="72">
        <v>-1.9999999999873244E-3</v>
      </c>
      <c r="AC82" s="88">
        <v>-5.9999999999755579E-3</v>
      </c>
      <c r="AD82" s="73">
        <v>-2.0000000003079776E-3</v>
      </c>
      <c r="AE82" s="74">
        <v>212730.37664077416</v>
      </c>
      <c r="AF82" s="74">
        <v>92121.298659395514</v>
      </c>
      <c r="AG82" s="74">
        <v>87701.207559380826</v>
      </c>
      <c r="AH82" s="95">
        <v>113826.79070326001</v>
      </c>
      <c r="AI82" s="75">
        <v>10242.760999860417</v>
      </c>
      <c r="AK82" s="503">
        <v>5</v>
      </c>
      <c r="AL82" s="81">
        <v>2029</v>
      </c>
      <c r="AM82" s="81" t="s">
        <v>4</v>
      </c>
      <c r="AN82" s="74">
        <f>SIM_BASE!E87</f>
        <v>42.321309520169962</v>
      </c>
      <c r="AO82" s="74">
        <f>SIM_BASE!F87</f>
        <v>163.08708577231357</v>
      </c>
      <c r="AP82" s="74">
        <f>SIM_BASE!G87</f>
        <v>17.982746019937906</v>
      </c>
      <c r="AQ82" s="95">
        <f t="shared" si="82"/>
        <v>223.39114131242144</v>
      </c>
      <c r="AR82" s="75">
        <f>SIM_BASE!H87</f>
        <v>1920.1870649239413</v>
      </c>
      <c r="AS82" s="74">
        <f>SIM_BASE!K87</f>
        <v>21.860358429850784</v>
      </c>
      <c r="AT82" s="74">
        <f>SIM_BASE!L87</f>
        <v>104.86557701011925</v>
      </c>
      <c r="AU82" s="74">
        <f>SIM_BASE!M87</f>
        <v>15.256822312169627</v>
      </c>
      <c r="AV82" s="95">
        <f t="shared" si="83"/>
        <v>141.98275775213966</v>
      </c>
      <c r="AW82" s="74">
        <f>SIM_BASE!N87</f>
        <v>42.618457594451819</v>
      </c>
      <c r="AX82" s="74">
        <f>SIM_BASE!O87</f>
        <v>1856.9979756117909</v>
      </c>
      <c r="AY82" s="98">
        <f t="shared" si="84"/>
        <v>1899.6164332062428</v>
      </c>
      <c r="AZ82" s="72">
        <f>SIM_BASE!V87</f>
        <v>20.461951090319122</v>
      </c>
      <c r="BA82" s="72">
        <f>SIM_BASE!W87</f>
        <v>58.222508762194352</v>
      </c>
      <c r="BB82" s="72">
        <f>SIM_BASE!X87</f>
        <v>2.7269237077682784</v>
      </c>
      <c r="BC82" s="88">
        <f t="shared" si="85"/>
        <v>81.411383560281749</v>
      </c>
      <c r="BD82" s="73">
        <f>SIM_BASE!Y87</f>
        <v>144.30046943714711</v>
      </c>
      <c r="BE82" s="72">
        <f>SIM_BASE!R87</f>
        <v>1E-3</v>
      </c>
      <c r="BF82" s="72">
        <f>SIM_BASE!S87</f>
        <v>1E-3</v>
      </c>
      <c r="BG82" s="72">
        <f>SIM_BASE!T87</f>
        <v>1E-3</v>
      </c>
      <c r="BH82" s="88">
        <f t="shared" si="86"/>
        <v>3.0000000000000001E-3</v>
      </c>
      <c r="BI82" s="75">
        <f>SIM_BASE!U87</f>
        <v>-123.7278377194487</v>
      </c>
      <c r="BJ82" s="72">
        <f t="shared" si="111"/>
        <v>-1.9999999999443787E-3</v>
      </c>
      <c r="BK82" s="72">
        <f t="shared" si="112"/>
        <v>-2.0000000000331966E-3</v>
      </c>
      <c r="BL82" s="72">
        <f t="shared" si="113"/>
        <v>-1.9999999999990017E-3</v>
      </c>
      <c r="BM82" s="88">
        <f t="shared" si="87"/>
        <v>-5.999999999976577E-3</v>
      </c>
      <c r="BN82" s="73">
        <f t="shared" si="114"/>
        <v>-1.9999999999527063E-3</v>
      </c>
      <c r="BO82" s="74">
        <f>SIM_BASE!AB87</f>
        <v>310796.82423788571</v>
      </c>
      <c r="BP82" s="74">
        <f>SIM_BASE!AC87</f>
        <v>107193.47781005508</v>
      </c>
      <c r="BQ82" s="74">
        <f>SIM_BASE!AD87</f>
        <v>89713.212316904261</v>
      </c>
      <c r="BR82" s="95">
        <f t="shared" si="88"/>
        <v>136662.89291421301</v>
      </c>
      <c r="BS82" s="75">
        <f>SIM_BASE!AE87</f>
        <v>10240.424881862109</v>
      </c>
    </row>
    <row r="83" spans="1:71" ht="16.2" thickBot="1" x14ac:dyDescent="0.35">
      <c r="A83" s="387">
        <v>5</v>
      </c>
      <c r="B83" s="82">
        <v>2030</v>
      </c>
      <c r="C83" s="82" t="s">
        <v>4</v>
      </c>
      <c r="D83" s="78">
        <v>41.796322602564466</v>
      </c>
      <c r="E83" s="78">
        <v>168.10546748057567</v>
      </c>
      <c r="F83" s="78">
        <v>21.541413302629728</v>
      </c>
      <c r="G83" s="96">
        <v>231.44320338576986</v>
      </c>
      <c r="H83" s="79">
        <v>2052.2535869579442</v>
      </c>
      <c r="I83" s="78">
        <v>26.876019324677518</v>
      </c>
      <c r="J83" s="78">
        <v>127.21786496769499</v>
      </c>
      <c r="K83" s="78">
        <v>16.618946557300838</v>
      </c>
      <c r="L83" s="96">
        <v>170.71283084967334</v>
      </c>
      <c r="M83" s="78">
        <v>34.685055404935923</v>
      </c>
      <c r="N83" s="78">
        <v>1798.1979112093977</v>
      </c>
      <c r="O83" s="99">
        <v>1832.8829666143336</v>
      </c>
      <c r="P83" s="76">
        <v>14.921303277886949</v>
      </c>
      <c r="Q83" s="76">
        <v>40.888602512880674</v>
      </c>
      <c r="R83" s="76">
        <v>2.4519452121420837</v>
      </c>
      <c r="S83" s="89">
        <v>58.261851002909708</v>
      </c>
      <c r="T83" s="77">
        <v>295.25820398126922</v>
      </c>
      <c r="U83" s="76">
        <v>1E-3</v>
      </c>
      <c r="V83" s="76">
        <v>1E-3</v>
      </c>
      <c r="W83" s="76">
        <v>2.472521533186804</v>
      </c>
      <c r="X83" s="89">
        <v>2.4745215331868038</v>
      </c>
      <c r="Y83" s="79">
        <v>-75.885583637658783</v>
      </c>
      <c r="Z83" s="72">
        <v>-2.0000000000012222E-3</v>
      </c>
      <c r="AA83" s="72">
        <v>-1.9999999999976694E-3</v>
      </c>
      <c r="AB83" s="72">
        <v>-1.9999999999975593E-3</v>
      </c>
      <c r="AC83" s="88">
        <v>-5.9999999999964509E-3</v>
      </c>
      <c r="AD83" s="73">
        <v>-1.999999999782176E-3</v>
      </c>
      <c r="AE83" s="78">
        <v>253816.8480118796</v>
      </c>
      <c r="AF83" s="78">
        <v>90528.926366309315</v>
      </c>
      <c r="AG83" s="78">
        <v>87862.723375962029</v>
      </c>
      <c r="AH83" s="96">
        <v>115976.45617999227</v>
      </c>
      <c r="AI83" s="79">
        <v>10562.92826035122</v>
      </c>
      <c r="AK83" s="387">
        <v>5</v>
      </c>
      <c r="AL83" s="82">
        <v>2030</v>
      </c>
      <c r="AM83" s="82" t="s">
        <v>4</v>
      </c>
      <c r="AN83" s="74">
        <f>SIM_BASE!E94</f>
        <v>39.330280382632608</v>
      </c>
      <c r="AO83" s="74">
        <f>SIM_BASE!F94</f>
        <v>179.76611038279523</v>
      </c>
      <c r="AP83" s="74">
        <f>SIM_BASE!G94</f>
        <v>20.966842743262099</v>
      </c>
      <c r="AQ83" s="95">
        <f t="shared" ref="AQ83" si="115">SUM(AN83:AP83)</f>
        <v>240.06323350868993</v>
      </c>
      <c r="AR83" s="75">
        <f>SIM_BASE!H94</f>
        <v>2086.2274573116647</v>
      </c>
      <c r="AS83" s="74">
        <f>SIM_BASE!K94</f>
        <v>20.007029426106307</v>
      </c>
      <c r="AT83" s="74">
        <f>SIM_BASE!L94</f>
        <v>115.35570811650639</v>
      </c>
      <c r="AU83" s="74">
        <f>SIM_BASE!M94</f>
        <v>17.296091475943456</v>
      </c>
      <c r="AV83" s="95">
        <f t="shared" ref="AV83" si="116">SUM(AS83:AU83)</f>
        <v>152.65882901855616</v>
      </c>
      <c r="AW83" s="74">
        <f>SIM_BASE!N94</f>
        <v>46.940270922024446</v>
      </c>
      <c r="AX83" s="74">
        <f>SIM_BASE!O94</f>
        <v>2034.2159786687434</v>
      </c>
      <c r="AY83" s="98">
        <f t="shared" ref="AY83" si="117">SUM(AW83:AX83)</f>
        <v>2081.1562495907679</v>
      </c>
      <c r="AZ83" s="72">
        <f>SIM_BASE!V94</f>
        <v>19.324250956526356</v>
      </c>
      <c r="BA83" s="72">
        <f>SIM_BASE!W94</f>
        <v>64.411402266288903</v>
      </c>
      <c r="BB83" s="72">
        <f>SIM_BASE!X94</f>
        <v>3.6201453902478171</v>
      </c>
      <c r="BC83" s="88">
        <f t="shared" ref="BC83" si="118">SUM(AZ83:BB83)</f>
        <v>87.355798613063072</v>
      </c>
      <c r="BD83" s="73">
        <f>SIM_BASE!Y94</f>
        <v>171.98269749155469</v>
      </c>
      <c r="BE83" s="72">
        <f>SIM_BASE!R94</f>
        <v>1E-3</v>
      </c>
      <c r="BF83" s="72">
        <f>SIM_BASE!S94</f>
        <v>1E-3</v>
      </c>
      <c r="BG83" s="72">
        <f>SIM_BASE!T94</f>
        <v>5.2605877070828422E-2</v>
      </c>
      <c r="BH83" s="88">
        <f t="shared" ref="BH83" si="119">SUM(BE83:BG83)</f>
        <v>5.4605877070828424E-2</v>
      </c>
      <c r="BI83" s="75">
        <f>SIM_BASE!U94</f>
        <v>-166.9094897706579</v>
      </c>
      <c r="BJ83" s="72">
        <f t="shared" ref="BJ83" si="120">AN83-AS83-AZ83-BE83</f>
        <v>-2.0000000000545129E-3</v>
      </c>
      <c r="BK83" s="72">
        <f t="shared" ref="BK83" si="121">AO83-AT83-BA83-BF83</f>
        <v>-2.0000000000616183E-3</v>
      </c>
      <c r="BL83" s="72">
        <f t="shared" ref="BL83" si="122">AP83-AU83-BB83-BG83</f>
        <v>-2.0000000000026663E-3</v>
      </c>
      <c r="BM83" s="88">
        <f t="shared" ref="BM83" si="123">SUM(BJ83:BL83)</f>
        <v>-6.0000000001187975E-3</v>
      </c>
      <c r="BN83" s="73">
        <f t="shared" ref="BN83" si="124">AR83-AW83-AX83-BD83-BI83</f>
        <v>-1.9999999999527063E-3</v>
      </c>
      <c r="BO83" s="74">
        <f>SIM_BASE!AB94</f>
        <v>371753.57948737714</v>
      </c>
      <c r="BP83" s="74">
        <f>SIM_BASE!AC94</f>
        <v>105344.77241130671</v>
      </c>
      <c r="BQ83" s="74">
        <f>SIM_BASE!AD94</f>
        <v>88037.734004611862</v>
      </c>
      <c r="BR83" s="95">
        <f t="shared" ref="BR83" si="125">SUMPRODUCT(BO83:BQ83,AS83:AU83)/AV83</f>
        <v>138298.67855238853</v>
      </c>
      <c r="BS83" s="75">
        <f>SIM_BASE!AE94</f>
        <v>10560.598013579283</v>
      </c>
    </row>
    <row r="84" spans="1:71" x14ac:dyDescent="0.3">
      <c r="A84" s="352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52">
        <v>6</v>
      </c>
      <c r="AL84" s="80">
        <v>2018</v>
      </c>
      <c r="AM84" s="80" t="s">
        <v>5</v>
      </c>
      <c r="AN84" s="70">
        <f>SIM_BASE!E11</f>
        <v>53.864199453964076</v>
      </c>
      <c r="AO84" s="70">
        <f>SIM_BASE!F11</f>
        <v>252.91926633769731</v>
      </c>
      <c r="AP84" s="70">
        <f>SIM_BASE!G11</f>
        <v>27.319455338942877</v>
      </c>
      <c r="AQ84" s="94">
        <f t="shared" si="82"/>
        <v>334.10292113060427</v>
      </c>
      <c r="AR84" s="71">
        <f>SIM_BASE!H11</f>
        <v>387.04263670514086</v>
      </c>
      <c r="AS84" s="70">
        <f>SIM_BASE!K11</f>
        <v>44.797878595792248</v>
      </c>
      <c r="AT84" s="70">
        <f>SIM_BASE!L11</f>
        <v>223.65049913701768</v>
      </c>
      <c r="AU84" s="70">
        <f>SIM_BASE!M11</f>
        <v>23.768528879446812</v>
      </c>
      <c r="AV84" s="94">
        <f t="shared" si="83"/>
        <v>292.21690661225676</v>
      </c>
      <c r="AW84" s="70">
        <f>SIM_BASE!N11</f>
        <v>27.744910633943078</v>
      </c>
      <c r="AX84" s="70">
        <f>SIM_BASE!O11</f>
        <v>2479.9422049503933</v>
      </c>
      <c r="AY84" s="97">
        <f t="shared" si="84"/>
        <v>2507.6871155843364</v>
      </c>
      <c r="AZ84" s="68">
        <f>SIM_BASE!V11</f>
        <v>9.0673208581718256</v>
      </c>
      <c r="BA84" s="68">
        <f>SIM_BASE!W11</f>
        <v>29.269767200679798</v>
      </c>
      <c r="BB84" s="68">
        <f>SIM_BASE!X11</f>
        <v>1.5669084965677504</v>
      </c>
      <c r="BC84" s="87">
        <f t="shared" si="85"/>
        <v>39.903996555419369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1.9860179629283221</v>
      </c>
      <c r="BH84" s="87">
        <f t="shared" si="86"/>
        <v>1.9880179629283221</v>
      </c>
      <c r="BI84" s="71">
        <f>SIM_BASE!U11</f>
        <v>-2120.6434788791953</v>
      </c>
      <c r="BJ84" s="68">
        <f t="shared" si="111"/>
        <v>-1.9999999999976694E-3</v>
      </c>
      <c r="BK84" s="68">
        <f t="shared" si="112"/>
        <v>-2.000000000164647E-3</v>
      </c>
      <c r="BL84" s="68">
        <f t="shared" si="113"/>
        <v>-2.0000000000077733E-3</v>
      </c>
      <c r="BM84" s="87">
        <f t="shared" si="87"/>
        <v>-6.0000000001700898E-3</v>
      </c>
      <c r="BN84" s="69">
        <f t="shared" si="114"/>
        <v>-2.0000000004074536E-3</v>
      </c>
      <c r="BO84" s="70">
        <f>SIM_BASE!AB11</f>
        <v>79943.816429671802</v>
      </c>
      <c r="BP84" s="70">
        <f>SIM_BASE!AC11</f>
        <v>79057.510311513324</v>
      </c>
      <c r="BQ84" s="70">
        <f>SIM_BASE!AD11</f>
        <v>81688.959999999977</v>
      </c>
      <c r="BR84" s="94">
        <f t="shared" si="88"/>
        <v>79407.422720692484</v>
      </c>
      <c r="BS84" s="71">
        <f>SIM_BASE!AE11</f>
        <v>6873.2976194014682</v>
      </c>
    </row>
    <row r="85" spans="1:71" x14ac:dyDescent="0.3">
      <c r="A85" s="353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53">
        <v>6</v>
      </c>
      <c r="AL85" s="81">
        <v>2019</v>
      </c>
      <c r="AM85" s="81" t="s">
        <v>5</v>
      </c>
      <c r="AN85" s="74">
        <f>SIM_BASE!E18</f>
        <v>5.6025897028774141</v>
      </c>
      <c r="AO85" s="74">
        <f>SIM_BASE!F18</f>
        <v>250.80133764078064</v>
      </c>
      <c r="AP85" s="74">
        <f>SIM_BASE!G18</f>
        <v>29.753109381272544</v>
      </c>
      <c r="AQ85" s="95">
        <f t="shared" si="82"/>
        <v>286.15703672493061</v>
      </c>
      <c r="AR85" s="75">
        <f>SIM_BASE!H18</f>
        <v>400.17250116345861</v>
      </c>
      <c r="AS85" s="74">
        <f>SIM_BASE!K18</f>
        <v>30.105288720104781</v>
      </c>
      <c r="AT85" s="74">
        <f>SIM_BASE!L18</f>
        <v>201.37489454113282</v>
      </c>
      <c r="AU85" s="74">
        <f>SIM_BASE!M18</f>
        <v>26.058702000971632</v>
      </c>
      <c r="AV85" s="95">
        <f t="shared" si="83"/>
        <v>257.53888526220919</v>
      </c>
      <c r="AW85" s="74">
        <f>SIM_BASE!N18</f>
        <v>36.608905329165928</v>
      </c>
      <c r="AX85" s="74">
        <f>SIM_BASE!O18</f>
        <v>2437.7666941958914</v>
      </c>
      <c r="AY85" s="98">
        <f t="shared" si="84"/>
        <v>2474.3755995250572</v>
      </c>
      <c r="AZ85" s="72">
        <f>SIM_BASE!V18</f>
        <v>-24.501699017227345</v>
      </c>
      <c r="BA85" s="72">
        <f>SIM_BASE!W18</f>
        <v>49.427443099647832</v>
      </c>
      <c r="BB85" s="72">
        <f>SIM_BASE!X18</f>
        <v>3.6954073803009559</v>
      </c>
      <c r="BC85" s="88">
        <f t="shared" si="85"/>
        <v>28.621151462721443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86"/>
        <v>3.0000000000000001E-3</v>
      </c>
      <c r="BI85" s="75">
        <f>SIM_BASE!U18</f>
        <v>-2074.2020983615985</v>
      </c>
      <c r="BJ85" s="72">
        <f t="shared" si="111"/>
        <v>-2.0000000000225384E-3</v>
      </c>
      <c r="BK85" s="72">
        <f t="shared" si="112"/>
        <v>-2.0000000000047749E-3</v>
      </c>
      <c r="BL85" s="72">
        <f t="shared" si="113"/>
        <v>-2.0000000000434106E-3</v>
      </c>
      <c r="BM85" s="88">
        <f t="shared" si="87"/>
        <v>-6.0000000000707239E-3</v>
      </c>
      <c r="BN85" s="73">
        <f t="shared" si="114"/>
        <v>-2.0000000004074536E-3</v>
      </c>
      <c r="BO85" s="74">
        <f>SIM_BASE!AB18</f>
        <v>130420.75372877176</v>
      </c>
      <c r="BP85" s="74">
        <f>SIM_BASE!AC18</f>
        <v>95420.929094308522</v>
      </c>
      <c r="BQ85" s="74">
        <f>SIM_BASE!AD18</f>
        <v>93878.923421598796</v>
      </c>
      <c r="BR85" s="95">
        <f t="shared" si="88"/>
        <v>99356.246118115363</v>
      </c>
      <c r="BS85" s="75">
        <f>SIM_BASE!AE18</f>
        <v>7171.9357225976437</v>
      </c>
    </row>
    <row r="86" spans="1:71" x14ac:dyDescent="0.3">
      <c r="A86" s="353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53">
        <v>6</v>
      </c>
      <c r="AL86" s="81">
        <v>2020</v>
      </c>
      <c r="AM86" s="81" t="s">
        <v>5</v>
      </c>
      <c r="AN86" s="74">
        <f>SIM_BASE!E25</f>
        <v>5.6442318207418873</v>
      </c>
      <c r="AO86" s="74">
        <f>SIM_BASE!F25</f>
        <v>268.07534515909248</v>
      </c>
      <c r="AP86" s="74">
        <f>SIM_BASE!G25</f>
        <v>29.909849317223195</v>
      </c>
      <c r="AQ86" s="95">
        <f t="shared" si="82"/>
        <v>303.62942629705753</v>
      </c>
      <c r="AR86" s="75">
        <f>SIM_BASE!H25</f>
        <v>413.43729707125021</v>
      </c>
      <c r="AS86" s="74">
        <f>SIM_BASE!K25</f>
        <v>32.434357199703896</v>
      </c>
      <c r="AT86" s="74">
        <f>SIM_BASE!L25</f>
        <v>210.91559975283252</v>
      </c>
      <c r="AU86" s="74">
        <f>SIM_BASE!M25</f>
        <v>25.999007399616598</v>
      </c>
      <c r="AV86" s="95">
        <f t="shared" si="83"/>
        <v>269.34896435215302</v>
      </c>
      <c r="AW86" s="74">
        <f>SIM_BASE!N25</f>
        <v>38.710749424991839</v>
      </c>
      <c r="AX86" s="74">
        <f>SIM_BASE!O25</f>
        <v>2593.5559905542232</v>
      </c>
      <c r="AY86" s="98">
        <f t="shared" si="84"/>
        <v>2632.2667399792149</v>
      </c>
      <c r="AZ86" s="72">
        <f>SIM_BASE!V25</f>
        <v>-26.789125378961987</v>
      </c>
      <c r="BA86" s="72">
        <f>SIM_BASE!W25</f>
        <v>57.16074540625997</v>
      </c>
      <c r="BB86" s="72">
        <f>SIM_BASE!X25</f>
        <v>3.9118419176066332</v>
      </c>
      <c r="BC86" s="88">
        <f t="shared" si="85"/>
        <v>34.283461944904616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86"/>
        <v>3.0000000000000001E-3</v>
      </c>
      <c r="BI86" s="75">
        <f>SIM_BASE!U25</f>
        <v>-2218.8284429079645</v>
      </c>
      <c r="BJ86" s="72">
        <f t="shared" si="111"/>
        <v>-2.0000000000225384E-3</v>
      </c>
      <c r="BK86" s="72">
        <f t="shared" si="112"/>
        <v>-2.0000000000118803E-3</v>
      </c>
      <c r="BL86" s="72">
        <f t="shared" si="113"/>
        <v>-2.0000000000367493E-3</v>
      </c>
      <c r="BM86" s="88">
        <f t="shared" si="87"/>
        <v>-6.000000000071168E-3</v>
      </c>
      <c r="BN86" s="73">
        <f t="shared" si="114"/>
        <v>-2.0000000004074536E-3</v>
      </c>
      <c r="BO86" s="74">
        <f>SIM_BASE!AB25</f>
        <v>132737.59685337369</v>
      </c>
      <c r="BP86" s="74">
        <f>SIM_BASE!AC25</f>
        <v>102556.83309567698</v>
      </c>
      <c r="BQ86" s="74">
        <f>SIM_BASE!AD25</f>
        <v>91837.278734691266</v>
      </c>
      <c r="BR86" s="95">
        <f t="shared" si="88"/>
        <v>105156.41947541037</v>
      </c>
      <c r="BS86" s="75">
        <f>SIM_BASE!AE25</f>
        <v>7390.073175190515</v>
      </c>
    </row>
    <row r="87" spans="1:71" x14ac:dyDescent="0.3">
      <c r="A87" s="353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53">
        <v>6</v>
      </c>
      <c r="AL87" s="81">
        <v>2021</v>
      </c>
      <c r="AM87" s="81" t="s">
        <v>5</v>
      </c>
      <c r="AN87" s="74">
        <f>SIM_BASE!E32</f>
        <v>5.8125156880481459</v>
      </c>
      <c r="AO87" s="74">
        <f>SIM_BASE!F32</f>
        <v>281.04351909210015</v>
      </c>
      <c r="AP87" s="74">
        <f>SIM_BASE!G32</f>
        <v>31.776756460425258</v>
      </c>
      <c r="AQ87" s="95">
        <f t="shared" si="82"/>
        <v>318.63279124057357</v>
      </c>
      <c r="AR87" s="75">
        <f>SIM_BASE!H32</f>
        <v>431.2248474956391</v>
      </c>
      <c r="AS87" s="74">
        <f>SIM_BASE!K32</f>
        <v>32.233184348965047</v>
      </c>
      <c r="AT87" s="74">
        <f>SIM_BASE!L32</f>
        <v>217.76520329726202</v>
      </c>
      <c r="AU87" s="74">
        <f>SIM_BASE!M32</f>
        <v>27.277310926851399</v>
      </c>
      <c r="AV87" s="95">
        <f t="shared" si="83"/>
        <v>277.27569857307844</v>
      </c>
      <c r="AW87" s="74">
        <f>SIM_BASE!N32</f>
        <v>41.418501425537727</v>
      </c>
      <c r="AX87" s="74">
        <f>SIM_BASE!O32</f>
        <v>2744.6202929604824</v>
      </c>
      <c r="AY87" s="98">
        <f t="shared" si="84"/>
        <v>2786.0387943860201</v>
      </c>
      <c r="AZ87" s="72">
        <f>SIM_BASE!V32</f>
        <v>-26.419668660916646</v>
      </c>
      <c r="BA87" s="72">
        <f>SIM_BASE!W32</f>
        <v>63.279315794838119</v>
      </c>
      <c r="BB87" s="72">
        <f>SIM_BASE!X32</f>
        <v>4.5004455335738882</v>
      </c>
      <c r="BC87" s="88">
        <f t="shared" si="85"/>
        <v>41.360092667495358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86"/>
        <v>3.0000000000000001E-3</v>
      </c>
      <c r="BI87" s="75">
        <f>SIM_BASE!U32</f>
        <v>-2354.8129468903803</v>
      </c>
      <c r="BJ87" s="72">
        <f t="shared" si="111"/>
        <v>-2.0000000002570175E-3</v>
      </c>
      <c r="BK87" s="72">
        <f t="shared" si="112"/>
        <v>-1.9999999999834586E-3</v>
      </c>
      <c r="BL87" s="72">
        <f t="shared" si="113"/>
        <v>-2.0000000000296439E-3</v>
      </c>
      <c r="BM87" s="88">
        <f t="shared" si="87"/>
        <v>-6.00000000027012E-3</v>
      </c>
      <c r="BN87" s="73">
        <f t="shared" si="114"/>
        <v>-2.000000000862201E-3</v>
      </c>
      <c r="BO87" s="74">
        <f>SIM_BASE!AB32</f>
        <v>140169.12654102242</v>
      </c>
      <c r="BP87" s="74">
        <f>SIM_BASE!AC32</f>
        <v>106164.5648262332</v>
      </c>
      <c r="BQ87" s="74">
        <f>SIM_BASE!AD32</f>
        <v>94472.430038061168</v>
      </c>
      <c r="BR87" s="95">
        <f t="shared" si="88"/>
        <v>108967.35394349914</v>
      </c>
      <c r="BS87" s="75">
        <f>SIM_BASE!AE32</f>
        <v>7645.755248861964</v>
      </c>
    </row>
    <row r="88" spans="1:71" x14ac:dyDescent="0.3">
      <c r="A88" s="353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53">
        <v>6</v>
      </c>
      <c r="AL88" s="81">
        <v>2022</v>
      </c>
      <c r="AM88" s="81" t="s">
        <v>5</v>
      </c>
      <c r="AN88" s="74">
        <f>SIM_BASE!E39</f>
        <v>5.9862662525692087</v>
      </c>
      <c r="AO88" s="74">
        <f>SIM_BASE!F39</f>
        <v>296.35400788603397</v>
      </c>
      <c r="AP88" s="74">
        <f>SIM_BASE!G39</f>
        <v>34.018258022157795</v>
      </c>
      <c r="AQ88" s="95">
        <f t="shared" ref="AQ88:AQ108" si="126">SUM(AN88:AP88)</f>
        <v>336.35853216076094</v>
      </c>
      <c r="AR88" s="75">
        <f>SIM_BASE!H39</f>
        <v>451.57146940415953</v>
      </c>
      <c r="AS88" s="74">
        <f>SIM_BASE!K39</f>
        <v>32.023764251274123</v>
      </c>
      <c r="AT88" s="74">
        <f>SIM_BASE!L39</f>
        <v>225.97852025858441</v>
      </c>
      <c r="AU88" s="74">
        <f>SIM_BASE!M39</f>
        <v>28.871783897408658</v>
      </c>
      <c r="AV88" s="95">
        <f t="shared" ref="AV88:AV108" si="127">SUM(AS88:AU88)</f>
        <v>286.8740684072672</v>
      </c>
      <c r="AW88" s="74">
        <f>SIM_BASE!N39</f>
        <v>44.265040247210578</v>
      </c>
      <c r="AX88" s="74">
        <f>SIM_BASE!O39</f>
        <v>2915.2619648391592</v>
      </c>
      <c r="AY88" s="98">
        <f t="shared" ref="AY88:AY108" si="128">SUM(AW88:AX88)</f>
        <v>2959.5270050863696</v>
      </c>
      <c r="AZ88" s="72">
        <f>SIM_BASE!V39</f>
        <v>-26.036497998704913</v>
      </c>
      <c r="BA88" s="72">
        <f>SIM_BASE!W39</f>
        <v>70.376487627449649</v>
      </c>
      <c r="BB88" s="72">
        <f>SIM_BASE!X39</f>
        <v>5.1474741247491167</v>
      </c>
      <c r="BC88" s="88">
        <f t="shared" ref="BC88:BC108" si="129">SUM(AZ88:BB88)</f>
        <v>49.487463753493849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0">SUM(BE88:BG88)</f>
        <v>3.0000000000000001E-3</v>
      </c>
      <c r="BI88" s="75">
        <f>SIM_BASE!U39</f>
        <v>-2507.95453568221</v>
      </c>
      <c r="BJ88" s="72">
        <f t="shared" si="111"/>
        <v>-2.0000000000012222E-3</v>
      </c>
      <c r="BK88" s="72">
        <f t="shared" si="112"/>
        <v>-2.00000000009004E-3</v>
      </c>
      <c r="BL88" s="72">
        <f t="shared" si="113"/>
        <v>-1.9999999999799059E-3</v>
      </c>
      <c r="BM88" s="88">
        <f t="shared" ref="BM88:BM108" si="131">SUM(BJ88:BL88)</f>
        <v>-6.000000000071168E-3</v>
      </c>
      <c r="BN88" s="73">
        <f t="shared" si="114"/>
        <v>-2.0000000004074536E-3</v>
      </c>
      <c r="BO88" s="74">
        <f>SIM_BASE!AB39</f>
        <v>147872.8460397539</v>
      </c>
      <c r="BP88" s="74">
        <f>SIM_BASE!AC39</f>
        <v>109169.28268628185</v>
      </c>
      <c r="BQ88" s="74">
        <f>SIM_BASE!AD39</f>
        <v>96264.764397677252</v>
      </c>
      <c r="BR88" s="95">
        <f t="shared" ref="BR88:BR108" si="132">SUMPRODUCT(BO88:BQ88,AS88:AU88)/AV88</f>
        <v>112191.01737983539</v>
      </c>
      <c r="BS88" s="75">
        <f>SIM_BASE!AE39</f>
        <v>7909.2400347675066</v>
      </c>
    </row>
    <row r="89" spans="1:71" x14ac:dyDescent="0.3">
      <c r="A89" s="353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53">
        <v>6</v>
      </c>
      <c r="AL89" s="81">
        <v>2023</v>
      </c>
      <c r="AM89" s="81" t="s">
        <v>5</v>
      </c>
      <c r="AN89" s="74">
        <f>SIM_BASE!E46</f>
        <v>6.1620138260424868</v>
      </c>
      <c r="AO89" s="74">
        <f>SIM_BASE!F46</f>
        <v>314.19976121884122</v>
      </c>
      <c r="AP89" s="74">
        <f>SIM_BASE!G46</f>
        <v>36.705924563505796</v>
      </c>
      <c r="AQ89" s="95">
        <f t="shared" si="126"/>
        <v>357.06769960838949</v>
      </c>
      <c r="AR89" s="75">
        <f>SIM_BASE!H46</f>
        <v>474.20728594881905</v>
      </c>
      <c r="AS89" s="74">
        <f>SIM_BASE!K46</f>
        <v>31.833659324715356</v>
      </c>
      <c r="AT89" s="74">
        <f>SIM_BASE!L46</f>
        <v>235.81662657022628</v>
      </c>
      <c r="AU89" s="74">
        <f>SIM_BASE!M46</f>
        <v>30.821589068553696</v>
      </c>
      <c r="AV89" s="95">
        <f t="shared" si="127"/>
        <v>298.47187496349534</v>
      </c>
      <c r="AW89" s="74">
        <f>SIM_BASE!N46</f>
        <v>47.093748178250863</v>
      </c>
      <c r="AX89" s="74">
        <f>SIM_BASE!O46</f>
        <v>3106.2650826652794</v>
      </c>
      <c r="AY89" s="98">
        <f t="shared" si="128"/>
        <v>3153.3588308435301</v>
      </c>
      <c r="AZ89" s="72">
        <f>SIM_BASE!V46</f>
        <v>-25.670645498672869</v>
      </c>
      <c r="BA89" s="72">
        <f>SIM_BASE!W46</f>
        <v>78.384134648614946</v>
      </c>
      <c r="BB89" s="72">
        <f>SIM_BASE!X46</f>
        <v>5.8853354949520975</v>
      </c>
      <c r="BC89" s="88">
        <f t="shared" si="129"/>
        <v>58.598824644894172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0"/>
        <v>3.0000000000000001E-3</v>
      </c>
      <c r="BI89" s="75">
        <f>SIM_BASE!U46</f>
        <v>-2679.1505448947109</v>
      </c>
      <c r="BJ89" s="72">
        <f t="shared" si="111"/>
        <v>-2.0000000000012222E-3</v>
      </c>
      <c r="BK89" s="72">
        <f t="shared" si="112"/>
        <v>-2.0000000000047749E-3</v>
      </c>
      <c r="BL89" s="72">
        <f t="shared" si="113"/>
        <v>-1.9999999999967813E-3</v>
      </c>
      <c r="BM89" s="88">
        <f t="shared" si="131"/>
        <v>-6.0000000000027783E-3</v>
      </c>
      <c r="BN89" s="73">
        <f t="shared" si="114"/>
        <v>-2.0000000004074536E-3</v>
      </c>
      <c r="BO89" s="74">
        <f>SIM_BASE!AB46</f>
        <v>155672.41986898947</v>
      </c>
      <c r="BP89" s="74">
        <f>SIM_BASE!AC46</f>
        <v>111403.51543723761</v>
      </c>
      <c r="BQ89" s="74">
        <f>SIM_BASE!AD46</f>
        <v>97148.751981494235</v>
      </c>
      <c r="BR89" s="95">
        <f t="shared" si="132"/>
        <v>114653.02348879199</v>
      </c>
      <c r="BS89" s="75">
        <f>SIM_BASE!AE46</f>
        <v>8167.6592845710811</v>
      </c>
    </row>
    <row r="90" spans="1:71" x14ac:dyDescent="0.3">
      <c r="A90" s="353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53">
        <v>6</v>
      </c>
      <c r="AL90" s="81">
        <v>2024</v>
      </c>
      <c r="AM90" s="81" t="s">
        <v>5</v>
      </c>
      <c r="AN90" s="74">
        <f>SIM_BASE!E53</f>
        <v>6.350723387693515</v>
      </c>
      <c r="AO90" s="74">
        <f>SIM_BASE!F53</f>
        <v>334.93885040392718</v>
      </c>
      <c r="AP90" s="74">
        <f>SIM_BASE!G53</f>
        <v>39.919596881565816</v>
      </c>
      <c r="AQ90" s="95">
        <f t="shared" si="126"/>
        <v>381.20917067318652</v>
      </c>
      <c r="AR90" s="75">
        <f>SIM_BASE!H53</f>
        <v>500.00115177053146</v>
      </c>
      <c r="AS90" s="74">
        <f>SIM_BASE!K53</f>
        <v>31.584742074531725</v>
      </c>
      <c r="AT90" s="74">
        <f>SIM_BASE!L53</f>
        <v>247.43188666866268</v>
      </c>
      <c r="AU90" s="74">
        <f>SIM_BASE!M53</f>
        <v>33.180327385272378</v>
      </c>
      <c r="AV90" s="95">
        <f t="shared" si="127"/>
        <v>312.19695612846681</v>
      </c>
      <c r="AW90" s="74">
        <f>SIM_BASE!N53</f>
        <v>49.668407196800217</v>
      </c>
      <c r="AX90" s="74">
        <f>SIM_BASE!O53</f>
        <v>3317.8253634998828</v>
      </c>
      <c r="AY90" s="98">
        <f t="shared" si="128"/>
        <v>3367.493770696683</v>
      </c>
      <c r="AZ90" s="72">
        <f>SIM_BASE!V53</f>
        <v>-25.233018686838225</v>
      </c>
      <c r="BA90" s="72">
        <f>SIM_BASE!W53</f>
        <v>87.507963735264497</v>
      </c>
      <c r="BB90" s="72">
        <f>SIM_BASE!X53</f>
        <v>6.7402694962934424</v>
      </c>
      <c r="BC90" s="88">
        <f t="shared" si="129"/>
        <v>69.015214544719711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0"/>
        <v>3.0000000000000001E-3</v>
      </c>
      <c r="BI90" s="75">
        <f>SIM_BASE!U53</f>
        <v>-2867.4916189261517</v>
      </c>
      <c r="BJ90" s="72">
        <f t="shared" si="111"/>
        <v>-1.9999999999870113E-3</v>
      </c>
      <c r="BK90" s="72">
        <f t="shared" si="112"/>
        <v>-2.0000000000047749E-3</v>
      </c>
      <c r="BL90" s="72">
        <f t="shared" si="113"/>
        <v>-2.0000000000038867E-3</v>
      </c>
      <c r="BM90" s="88">
        <f t="shared" si="131"/>
        <v>-5.9999999999956729E-3</v>
      </c>
      <c r="BN90" s="73">
        <f t="shared" si="114"/>
        <v>-1.9999999999527063E-3</v>
      </c>
      <c r="BO90" s="74">
        <f>SIM_BASE!AB53</f>
        <v>164003.4621273618</v>
      </c>
      <c r="BP90" s="74">
        <f>SIM_BASE!AC53</f>
        <v>112822.41955744071</v>
      </c>
      <c r="BQ90" s="74">
        <f>SIM_BASE!AD53</f>
        <v>97094.630908809879</v>
      </c>
      <c r="BR90" s="95">
        <f t="shared" si="132"/>
        <v>116328.81778067703</v>
      </c>
      <c r="BS90" s="75">
        <f>SIM_BASE!AE53</f>
        <v>8436.0198635164743</v>
      </c>
    </row>
    <row r="91" spans="1:71" x14ac:dyDescent="0.3">
      <c r="A91" s="353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53">
        <v>6</v>
      </c>
      <c r="AL91" s="81">
        <v>2025</v>
      </c>
      <c r="AM91" s="81" t="s">
        <v>5</v>
      </c>
      <c r="AN91" s="74">
        <f>SIM_BASE!E60</f>
        <v>6.5478413682503058</v>
      </c>
      <c r="AO91" s="74">
        <f>SIM_BASE!F60</f>
        <v>358.82865351527062</v>
      </c>
      <c r="AP91" s="74">
        <f>SIM_BASE!G60</f>
        <v>43.756530050023649</v>
      </c>
      <c r="AQ91" s="95">
        <f t="shared" si="126"/>
        <v>409.13302493354456</v>
      </c>
      <c r="AR91" s="75">
        <f>SIM_BASE!H60</f>
        <v>529.35980941428954</v>
      </c>
      <c r="AS91" s="74">
        <f>SIM_BASE!K60</f>
        <v>31.313602343860346</v>
      </c>
      <c r="AT91" s="74">
        <f>SIM_BASE!L60</f>
        <v>261.20116104436801</v>
      </c>
      <c r="AU91" s="74">
        <f>SIM_BASE!M60</f>
        <v>36.024864903199706</v>
      </c>
      <c r="AV91" s="95">
        <f t="shared" si="127"/>
        <v>328.53962829142807</v>
      </c>
      <c r="AW91" s="74">
        <f>SIM_BASE!N60</f>
        <v>51.990716516593579</v>
      </c>
      <c r="AX91" s="74">
        <f>SIM_BASE!O60</f>
        <v>3552.3017930934161</v>
      </c>
      <c r="AY91" s="98">
        <f t="shared" si="128"/>
        <v>3604.2925096100098</v>
      </c>
      <c r="AZ91" s="72">
        <f>SIM_BASE!V60</f>
        <v>-24.76476097561012</v>
      </c>
      <c r="BA91" s="72">
        <f>SIM_BASE!W60</f>
        <v>97.628492470902614</v>
      </c>
      <c r="BB91" s="72">
        <f>SIM_BASE!X60</f>
        <v>7.7326651468239795</v>
      </c>
      <c r="BC91" s="88">
        <f t="shared" si="129"/>
        <v>80.596396642116474</v>
      </c>
      <c r="BD91" s="73">
        <f>SIM_BASE!Y60</f>
        <v>1E-3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0"/>
        <v>3.0000000000000001E-3</v>
      </c>
      <c r="BI91" s="75">
        <f>SIM_BASE!U60</f>
        <v>-3074.9317001957197</v>
      </c>
      <c r="BJ91" s="72">
        <f t="shared" si="111"/>
        <v>-1.9999999999195097E-3</v>
      </c>
      <c r="BK91" s="72">
        <f t="shared" si="112"/>
        <v>-2.0000000000047749E-3</v>
      </c>
      <c r="BL91" s="72">
        <f t="shared" si="113"/>
        <v>-2.0000000000367493E-3</v>
      </c>
      <c r="BM91" s="88">
        <f t="shared" si="131"/>
        <v>-5.9999999999610339E-3</v>
      </c>
      <c r="BN91" s="73">
        <f t="shared" si="114"/>
        <v>-2.0000000004074536E-3</v>
      </c>
      <c r="BO91" s="74">
        <f>SIM_BASE!AB60</f>
        <v>172682.09515613475</v>
      </c>
      <c r="BP91" s="74">
        <f>SIM_BASE!AC60</f>
        <v>113332.92859976657</v>
      </c>
      <c r="BQ91" s="74">
        <f>SIM_BASE!AD60</f>
        <v>96120.331743805858</v>
      </c>
      <c r="BR91" s="95">
        <f t="shared" si="132"/>
        <v>117102.19908642443</v>
      </c>
      <c r="BS91" s="75">
        <f>SIM_BASE!AE60</f>
        <v>8714.6988365883517</v>
      </c>
    </row>
    <row r="92" spans="1:71" x14ac:dyDescent="0.3">
      <c r="A92" s="353">
        <v>6</v>
      </c>
      <c r="B92" s="81">
        <v>2026</v>
      </c>
      <c r="C92" s="81" t="s">
        <v>5</v>
      </c>
      <c r="D92" s="74">
        <v>63.907800875594098</v>
      </c>
      <c r="E92" s="74">
        <v>396.18416562618182</v>
      </c>
      <c r="F92" s="74">
        <v>48.170816773204635</v>
      </c>
      <c r="G92" s="95">
        <v>508.26278327498056</v>
      </c>
      <c r="H92" s="75">
        <v>552.4302354408253</v>
      </c>
      <c r="I92" s="74">
        <v>39.572053854247798</v>
      </c>
      <c r="J92" s="74">
        <v>306.62642324507379</v>
      </c>
      <c r="K92" s="74">
        <v>39.224580898987838</v>
      </c>
      <c r="L92" s="95">
        <v>385.42305799830945</v>
      </c>
      <c r="M92" s="74">
        <v>40.93874278448402</v>
      </c>
      <c r="N92" s="74">
        <v>3983.7139434126293</v>
      </c>
      <c r="O92" s="98">
        <v>4024.6526861971133</v>
      </c>
      <c r="P92" s="72">
        <v>24.336747021346319</v>
      </c>
      <c r="Q92" s="72">
        <v>89.558742381108345</v>
      </c>
      <c r="R92" s="72">
        <v>8.9472358742168279</v>
      </c>
      <c r="S92" s="88">
        <v>122.8427252766715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-3472.2214507562867</v>
      </c>
      <c r="Z92" s="72">
        <v>-2.0000000000189857E-3</v>
      </c>
      <c r="AA92" s="72">
        <v>-2.0000000003174137E-3</v>
      </c>
      <c r="AB92" s="72">
        <v>-2.0000000000314202E-3</v>
      </c>
      <c r="AC92" s="88">
        <v>-6.0000000003678196E-3</v>
      </c>
      <c r="AD92" s="73">
        <v>-2.0000000013169483E-3</v>
      </c>
      <c r="AE92" s="74">
        <v>132674.33376644566</v>
      </c>
      <c r="AF92" s="74">
        <v>96637.323271998001</v>
      </c>
      <c r="AG92" s="74">
        <v>90761.150989485293</v>
      </c>
      <c r="AH92" s="95">
        <v>99739.286426900391</v>
      </c>
      <c r="AI92" s="75">
        <v>8992.8811067884162</v>
      </c>
      <c r="AK92" s="353">
        <v>6</v>
      </c>
      <c r="AL92" s="81">
        <v>2026</v>
      </c>
      <c r="AM92" s="81" t="s">
        <v>5</v>
      </c>
      <c r="AN92" s="74">
        <f>SIM_BASE!E67</f>
        <v>6.291659038243389</v>
      </c>
      <c r="AO92" s="74">
        <f>SIM_BASE!F67</f>
        <v>386.58310686793106</v>
      </c>
      <c r="AP92" s="74">
        <f>SIM_BASE!G67</f>
        <v>48.392883575283854</v>
      </c>
      <c r="AQ92" s="95">
        <f t="shared" si="126"/>
        <v>441.26764948145831</v>
      </c>
      <c r="AR92" s="75">
        <f>SIM_BASE!H67</f>
        <v>563.92461080215514</v>
      </c>
      <c r="AS92" s="74">
        <f>SIM_BASE!K67</f>
        <v>28.999952797477029</v>
      </c>
      <c r="AT92" s="74">
        <f>SIM_BASE!L67</f>
        <v>277.5609002497963</v>
      </c>
      <c r="AU92" s="74">
        <f>SIM_BASE!M67</f>
        <v>39.476783301044392</v>
      </c>
      <c r="AV92" s="95">
        <f t="shared" si="127"/>
        <v>346.03763634831773</v>
      </c>
      <c r="AW92" s="74">
        <f>SIM_BASE!N67</f>
        <v>57.309965538841055</v>
      </c>
      <c r="AX92" s="74">
        <f>SIM_BASE!O67</f>
        <v>3879.6965019184554</v>
      </c>
      <c r="AY92" s="98">
        <f t="shared" si="128"/>
        <v>3937.0064674572964</v>
      </c>
      <c r="AZ92" s="72">
        <f>SIM_BASE!V67</f>
        <v>-22.707293759233654</v>
      </c>
      <c r="BA92" s="72">
        <f>SIM_BASE!W67</f>
        <v>109.02320661813475</v>
      </c>
      <c r="BB92" s="72">
        <f>SIM_BASE!X67</f>
        <v>8.917100274239445</v>
      </c>
      <c r="BC92" s="88">
        <f t="shared" si="129"/>
        <v>95.233013133140545</v>
      </c>
      <c r="BD92" s="73">
        <f>SIM_BASE!Y67</f>
        <v>1E-3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0"/>
        <v>3.0000000000000001E-3</v>
      </c>
      <c r="BI92" s="75">
        <f>SIM_BASE!U67</f>
        <v>-3373.0808566551414</v>
      </c>
      <c r="BJ92" s="72">
        <f t="shared" si="111"/>
        <v>-1.9999999999870113E-3</v>
      </c>
      <c r="BK92" s="72">
        <f t="shared" si="112"/>
        <v>-1.999999999990564E-3</v>
      </c>
      <c r="BL92" s="72">
        <f t="shared" si="113"/>
        <v>-1.9999999999834586E-3</v>
      </c>
      <c r="BM92" s="88">
        <f t="shared" si="131"/>
        <v>-5.9999999999610339E-3</v>
      </c>
      <c r="BN92" s="73">
        <f t="shared" si="114"/>
        <v>-2.0000000004074536E-3</v>
      </c>
      <c r="BO92" s="74">
        <f>SIM_BASE!AB67</f>
        <v>197475.53806116708</v>
      </c>
      <c r="BP92" s="74">
        <f>SIM_BASE!AC67</f>
        <v>113859.5264617263</v>
      </c>
      <c r="BQ92" s="74">
        <f>SIM_BASE!AD67</f>
        <v>95003.334663981397</v>
      </c>
      <c r="BR92" s="95">
        <f t="shared" si="132"/>
        <v>118715.87275326962</v>
      </c>
      <c r="BS92" s="75">
        <f>SIM_BASE!AE67</f>
        <v>8992.0575140529781</v>
      </c>
    </row>
    <row r="93" spans="1:71" x14ac:dyDescent="0.3">
      <c r="A93" s="353">
        <v>6</v>
      </c>
      <c r="B93" s="81">
        <v>2027</v>
      </c>
      <c r="C93" s="81" t="s">
        <v>5</v>
      </c>
      <c r="D93" s="74">
        <v>60.948926920978863</v>
      </c>
      <c r="E93" s="74">
        <v>429.17884996538476</v>
      </c>
      <c r="F93" s="74">
        <v>53.695437752948344</v>
      </c>
      <c r="G93" s="95">
        <v>543.82321463931191</v>
      </c>
      <c r="H93" s="75">
        <v>591.23198434594917</v>
      </c>
      <c r="I93" s="74">
        <v>36.297294339271438</v>
      </c>
      <c r="J93" s="74">
        <v>327.60191960349141</v>
      </c>
      <c r="K93" s="74">
        <v>43.356866625475092</v>
      </c>
      <c r="L93" s="95">
        <v>407.25608056823796</v>
      </c>
      <c r="M93" s="74">
        <v>44.657548505948697</v>
      </c>
      <c r="N93" s="74">
        <v>4321.2481856616323</v>
      </c>
      <c r="O93" s="98">
        <v>4365.9057341675807</v>
      </c>
      <c r="P93" s="72">
        <v>24.652632581707422</v>
      </c>
      <c r="Q93" s="72">
        <v>101.57793036189314</v>
      </c>
      <c r="R93" s="72">
        <v>10.311679954646971</v>
      </c>
      <c r="S93" s="88">
        <v>136.54224289824754</v>
      </c>
      <c r="T93" s="73">
        <v>1E-3</v>
      </c>
      <c r="U93" s="72">
        <v>1E-3</v>
      </c>
      <c r="V93" s="72">
        <v>1E-3</v>
      </c>
      <c r="W93" s="72">
        <v>2.889117282627468E-2</v>
      </c>
      <c r="X93" s="88">
        <v>3.0891172826274682E-2</v>
      </c>
      <c r="Y93" s="75">
        <v>-3774.6727498216314</v>
      </c>
      <c r="Z93" s="72">
        <v>-1.9999999999976694E-3</v>
      </c>
      <c r="AA93" s="72">
        <v>-1.999999999791612E-3</v>
      </c>
      <c r="AB93" s="72">
        <v>-1.9999999999942841E-3</v>
      </c>
      <c r="AC93" s="88">
        <v>-5.9999999997835656E-3</v>
      </c>
      <c r="AD93" s="73">
        <v>-2.0000000004074536E-3</v>
      </c>
      <c r="AE93" s="74">
        <v>153362.15971119277</v>
      </c>
      <c r="AF93" s="74">
        <v>96487.139664910152</v>
      </c>
      <c r="AG93" s="74">
        <v>88947.831892944916</v>
      </c>
      <c r="AH93" s="95">
        <v>100753.56726306911</v>
      </c>
      <c r="AI93" s="75">
        <v>9280.3175785819385</v>
      </c>
      <c r="AK93" s="353">
        <v>6</v>
      </c>
      <c r="AL93" s="81">
        <v>2027</v>
      </c>
      <c r="AM93" s="81" t="s">
        <v>5</v>
      </c>
      <c r="AN93" s="74">
        <f>SIM_BASE!E74</f>
        <v>5.9853649358429406</v>
      </c>
      <c r="AO93" s="74">
        <f>SIM_BASE!F74</f>
        <v>418.84563004877384</v>
      </c>
      <c r="AP93" s="74">
        <f>SIM_BASE!G74</f>
        <v>53.948831656926451</v>
      </c>
      <c r="AQ93" s="95">
        <f t="shared" si="126"/>
        <v>478.77982664154325</v>
      </c>
      <c r="AR93" s="75">
        <f>SIM_BASE!H74</f>
        <v>603.41579408094049</v>
      </c>
      <c r="AS93" s="74">
        <f>SIM_BASE!K74</f>
        <v>26.659793251650136</v>
      </c>
      <c r="AT93" s="74">
        <f>SIM_BASE!L74</f>
        <v>296.53958922749894</v>
      </c>
      <c r="AU93" s="74">
        <f>SIM_BASE!M74</f>
        <v>43.634238584347536</v>
      </c>
      <c r="AV93" s="95">
        <f t="shared" si="127"/>
        <v>366.83362106349659</v>
      </c>
      <c r="AW93" s="74">
        <f>SIM_BASE!N74</f>
        <v>63.220072429163707</v>
      </c>
      <c r="AX93" s="74">
        <f>SIM_BASE!O74</f>
        <v>4258.7552952258966</v>
      </c>
      <c r="AY93" s="98">
        <f t="shared" si="128"/>
        <v>4321.9753676550599</v>
      </c>
      <c r="AZ93" s="72">
        <f>SIM_BASE!V74</f>
        <v>-20.673428315807097</v>
      </c>
      <c r="BA93" s="72">
        <f>SIM_BASE!W74</f>
        <v>122.30704082127485</v>
      </c>
      <c r="BB93" s="72">
        <f>SIM_BASE!X74</f>
        <v>10.315593072578771</v>
      </c>
      <c r="BC93" s="88">
        <f t="shared" si="129"/>
        <v>111.94920557804653</v>
      </c>
      <c r="BD93" s="73">
        <f>SIM_BASE!Y74</f>
        <v>1E-3</v>
      </c>
      <c r="BE93" s="72">
        <f>SIM_BASE!R74</f>
        <v>1E-3</v>
      </c>
      <c r="BF93" s="72">
        <f>SIM_BASE!S74</f>
        <v>1E-3</v>
      </c>
      <c r="BG93" s="72">
        <f>SIM_BASE!T74</f>
        <v>1E-3</v>
      </c>
      <c r="BH93" s="88">
        <f t="shared" si="130"/>
        <v>3.0000000000000001E-3</v>
      </c>
      <c r="BI93" s="75">
        <f>SIM_BASE!U74</f>
        <v>-3718.5585735741192</v>
      </c>
      <c r="BJ93" s="72">
        <f t="shared" si="111"/>
        <v>-2.0000000000971454E-3</v>
      </c>
      <c r="BK93" s="72">
        <f t="shared" si="112"/>
        <v>-1.9999999999479314E-3</v>
      </c>
      <c r="BL93" s="72">
        <f t="shared" si="113"/>
        <v>-1.9999999998555609E-3</v>
      </c>
      <c r="BM93" s="88">
        <f t="shared" si="131"/>
        <v>-5.9999999999006378E-3</v>
      </c>
      <c r="BN93" s="73">
        <f t="shared" si="114"/>
        <v>-2.000000000862201E-3</v>
      </c>
      <c r="BO93" s="74">
        <f>SIM_BASE!AB74</f>
        <v>227581.14375151056</v>
      </c>
      <c r="BP93" s="74">
        <f>SIM_BASE!AC74</f>
        <v>113664.12020444828</v>
      </c>
      <c r="BQ93" s="74">
        <f>SIM_BASE!AD74</f>
        <v>93096.468956583602</v>
      </c>
      <c r="BR93" s="95">
        <f t="shared" si="132"/>
        <v>119496.60221014949</v>
      </c>
      <c r="BS93" s="75">
        <f>SIM_BASE!AE74</f>
        <v>9279.6195035121709</v>
      </c>
    </row>
    <row r="94" spans="1:71" x14ac:dyDescent="0.3">
      <c r="A94" s="353">
        <v>6</v>
      </c>
      <c r="B94" s="81">
        <v>2028</v>
      </c>
      <c r="C94" s="81" t="s">
        <v>5</v>
      </c>
      <c r="D94" s="74">
        <v>57.611325660552346</v>
      </c>
      <c r="E94" s="74">
        <v>467.4424049258032</v>
      </c>
      <c r="F94" s="74">
        <v>61.336461925121938</v>
      </c>
      <c r="G94" s="95">
        <v>586.39019251147749</v>
      </c>
      <c r="H94" s="75">
        <v>636.51507025536455</v>
      </c>
      <c r="I94" s="74">
        <v>33.008847501640858</v>
      </c>
      <c r="J94" s="74">
        <v>352.15330066707952</v>
      </c>
      <c r="K94" s="74">
        <v>47.465258620863857</v>
      </c>
      <c r="L94" s="95">
        <v>432.6274067895842</v>
      </c>
      <c r="M94" s="74">
        <v>49.476161504260361</v>
      </c>
      <c r="N94" s="74">
        <v>4741.1558397531162</v>
      </c>
      <c r="O94" s="98">
        <v>4790.6320012573769</v>
      </c>
      <c r="P94" s="72">
        <v>24.603478158911493</v>
      </c>
      <c r="Q94" s="72">
        <v>115.29010425872377</v>
      </c>
      <c r="R94" s="72">
        <v>6.7866287128532958</v>
      </c>
      <c r="S94" s="88">
        <v>146.68021113048854</v>
      </c>
      <c r="T94" s="73">
        <v>1E-3</v>
      </c>
      <c r="U94" s="72">
        <v>1E-3</v>
      </c>
      <c r="V94" s="72">
        <v>1E-3</v>
      </c>
      <c r="W94" s="72">
        <v>7.0865745914047968</v>
      </c>
      <c r="X94" s="88">
        <v>7.0885745914047966</v>
      </c>
      <c r="Y94" s="75">
        <v>-4154.1159310020121</v>
      </c>
      <c r="Z94" s="72">
        <v>-2.0000000000047749E-3</v>
      </c>
      <c r="AA94" s="72">
        <v>-2.00000000009004E-3</v>
      </c>
      <c r="AB94" s="72">
        <v>-2.0000000000113261E-3</v>
      </c>
      <c r="AC94" s="88">
        <v>-6.0000000001061409E-3</v>
      </c>
      <c r="AD94" s="73">
        <v>-2.0000000004074536E-3</v>
      </c>
      <c r="AE94" s="74">
        <v>179346.67246150493</v>
      </c>
      <c r="AF94" s="74">
        <v>95873.707669136522</v>
      </c>
      <c r="AG94" s="74">
        <v>88284.367452216669</v>
      </c>
      <c r="AH94" s="95">
        <v>101409.91811626662</v>
      </c>
      <c r="AI94" s="75">
        <v>9578.3176988088399</v>
      </c>
      <c r="AK94" s="353">
        <v>6</v>
      </c>
      <c r="AL94" s="81">
        <v>2028</v>
      </c>
      <c r="AM94" s="81" t="s">
        <v>5</v>
      </c>
      <c r="AN94" s="74">
        <f>SIM_BASE!E81</f>
        <v>5.6509222646898625</v>
      </c>
      <c r="AO94" s="74">
        <f>SIM_BASE!F81</f>
        <v>456.23190388936075</v>
      </c>
      <c r="AP94" s="74">
        <f>SIM_BASE!G81</f>
        <v>60.630085303640037</v>
      </c>
      <c r="AQ94" s="95">
        <f t="shared" si="126"/>
        <v>522.51291145769062</v>
      </c>
      <c r="AR94" s="75">
        <f>SIM_BASE!H81</f>
        <v>648.54315898961033</v>
      </c>
      <c r="AS94" s="74">
        <f>SIM_BASE!K81</f>
        <v>24.24971277262042</v>
      </c>
      <c r="AT94" s="74">
        <f>SIM_BASE!L81</f>
        <v>318.65027192307554</v>
      </c>
      <c r="AU94" s="74">
        <f>SIM_BASE!M81</f>
        <v>48.639658471565603</v>
      </c>
      <c r="AV94" s="95">
        <f t="shared" si="127"/>
        <v>391.53964316726154</v>
      </c>
      <c r="AW94" s="74">
        <f>SIM_BASE!N81</f>
        <v>69.648325719101607</v>
      </c>
      <c r="AX94" s="74">
        <f>SIM_BASE!O81</f>
        <v>4697.4762601933107</v>
      </c>
      <c r="AY94" s="98">
        <f t="shared" si="128"/>
        <v>4767.1245859124119</v>
      </c>
      <c r="AZ94" s="72">
        <f>SIM_BASE!V81</f>
        <v>-18.597790507930529</v>
      </c>
      <c r="BA94" s="72">
        <f>SIM_BASE!W81</f>
        <v>137.58263196628519</v>
      </c>
      <c r="BB94" s="72">
        <f>SIM_BASE!X81</f>
        <v>11.991426832074517</v>
      </c>
      <c r="BC94" s="88">
        <f t="shared" si="129"/>
        <v>130.97626829042918</v>
      </c>
      <c r="BD94" s="73">
        <f>SIM_BASE!Y81</f>
        <v>1E-3</v>
      </c>
      <c r="BE94" s="72">
        <f>SIM_BASE!R81</f>
        <v>1E-3</v>
      </c>
      <c r="BF94" s="72">
        <f>SIM_BASE!S81</f>
        <v>1E-3</v>
      </c>
      <c r="BG94" s="72">
        <f>SIM_BASE!T81</f>
        <v>1E-3</v>
      </c>
      <c r="BH94" s="88">
        <f t="shared" si="130"/>
        <v>3.0000000000000001E-3</v>
      </c>
      <c r="BI94" s="75">
        <f>SIM_BASE!U81</f>
        <v>-4118.580426922802</v>
      </c>
      <c r="BJ94" s="72">
        <f t="shared" si="111"/>
        <v>-2.0000000000296439E-3</v>
      </c>
      <c r="BK94" s="72">
        <f t="shared" si="112"/>
        <v>-1.9999999999763532E-3</v>
      </c>
      <c r="BL94" s="72">
        <f t="shared" si="113"/>
        <v>-2.0000000000829346E-3</v>
      </c>
      <c r="BM94" s="88">
        <f t="shared" si="131"/>
        <v>-6.0000000000889316E-3</v>
      </c>
      <c r="BN94" s="73">
        <f t="shared" si="114"/>
        <v>-2.0000000004074536E-3</v>
      </c>
      <c r="BO94" s="74">
        <f>SIM_BASE!AB81</f>
        <v>265348.51670760696</v>
      </c>
      <c r="BP94" s="74">
        <f>SIM_BASE!AC81</f>
        <v>112696.3604279319</v>
      </c>
      <c r="BQ94" s="74">
        <f>SIM_BASE!AD81</f>
        <v>90449.269196321096</v>
      </c>
      <c r="BR94" s="95">
        <f t="shared" si="132"/>
        <v>119387.07507235649</v>
      </c>
      <c r="BS94" s="75">
        <f>SIM_BASE!AE81</f>
        <v>9577.7586794459767</v>
      </c>
    </row>
    <row r="95" spans="1:71" x14ac:dyDescent="0.3">
      <c r="A95" s="503">
        <v>6</v>
      </c>
      <c r="B95" s="81">
        <v>2029</v>
      </c>
      <c r="C95" s="81" t="s">
        <v>5</v>
      </c>
      <c r="D95" s="74">
        <v>53.979359201437838</v>
      </c>
      <c r="E95" s="74">
        <v>511.70414611551507</v>
      </c>
      <c r="F95" s="74">
        <v>71.752488534532091</v>
      </c>
      <c r="G95" s="95">
        <v>637.43599385148502</v>
      </c>
      <c r="H95" s="75">
        <v>689.0300980849388</v>
      </c>
      <c r="I95" s="74">
        <v>29.74976929421149</v>
      </c>
      <c r="J95" s="74">
        <v>380.97527192828636</v>
      </c>
      <c r="K95" s="74">
        <v>51.500437466710551</v>
      </c>
      <c r="L95" s="95">
        <v>462.22547868920839</v>
      </c>
      <c r="M95" s="74">
        <v>55.612752209228681</v>
      </c>
      <c r="N95" s="74">
        <v>5256.3846140021178</v>
      </c>
      <c r="O95" s="98">
        <v>5311.9973662113462</v>
      </c>
      <c r="P95" s="72">
        <v>24.230589907226364</v>
      </c>
      <c r="Q95" s="72">
        <v>130.72987418722872</v>
      </c>
      <c r="R95" s="72">
        <v>0.25232342095860416</v>
      </c>
      <c r="S95" s="88">
        <v>155.21278751541371</v>
      </c>
      <c r="T95" s="73">
        <v>1E-3</v>
      </c>
      <c r="U95" s="72">
        <v>1E-3</v>
      </c>
      <c r="V95" s="72">
        <v>1E-3</v>
      </c>
      <c r="W95" s="72">
        <v>20.00172764686295</v>
      </c>
      <c r="X95" s="88">
        <v>20.003727646862949</v>
      </c>
      <c r="Y95" s="75">
        <v>-4622.9662681264081</v>
      </c>
      <c r="Z95" s="72">
        <v>-2.000000000015433E-3</v>
      </c>
      <c r="AA95" s="72">
        <v>-2.0000000000047749E-3</v>
      </c>
      <c r="AB95" s="72">
        <v>-2.0000000000131024E-3</v>
      </c>
      <c r="AC95" s="88">
        <v>-6.0000000000333103E-3</v>
      </c>
      <c r="AD95" s="73">
        <v>-1.9999999994979589E-3</v>
      </c>
      <c r="AE95" s="74">
        <v>211952.06410906112</v>
      </c>
      <c r="AF95" s="74">
        <v>94714.011444950476</v>
      </c>
      <c r="AG95" s="74">
        <v>88657.255283200953</v>
      </c>
      <c r="AH95" s="95">
        <v>101584.85602995011</v>
      </c>
      <c r="AI95" s="75">
        <v>9887.2933515401</v>
      </c>
      <c r="AK95" s="503">
        <v>6</v>
      </c>
      <c r="AL95" s="81">
        <v>2029</v>
      </c>
      <c r="AM95" s="81" t="s">
        <v>5</v>
      </c>
      <c r="AN95" s="74">
        <f>SIM_BASE!E88</f>
        <v>5.2871372302489181</v>
      </c>
      <c r="AO95" s="74">
        <f>SIM_BASE!F88</f>
        <v>499.67579085565717</v>
      </c>
      <c r="AP95" s="74">
        <f>SIM_BASE!G88</f>
        <v>69.627229633914382</v>
      </c>
      <c r="AQ95" s="95">
        <f t="shared" si="126"/>
        <v>574.59015771982047</v>
      </c>
      <c r="AR95" s="75">
        <f>SIM_BASE!H88</f>
        <v>700.98308485610767</v>
      </c>
      <c r="AS95" s="74">
        <f>SIM_BASE!K88</f>
        <v>21.874296895833233</v>
      </c>
      <c r="AT95" s="74">
        <f>SIM_BASE!L88</f>
        <v>344.44978438351376</v>
      </c>
      <c r="AU95" s="74">
        <f>SIM_BASE!M88</f>
        <v>53.865891937380873</v>
      </c>
      <c r="AV95" s="95">
        <f t="shared" si="127"/>
        <v>420.18997321672788</v>
      </c>
      <c r="AW95" s="74">
        <f>SIM_BASE!N88</f>
        <v>77.476886003629176</v>
      </c>
      <c r="AX95" s="74">
        <f>SIM_BASE!O88</f>
        <v>5234.2274649745141</v>
      </c>
      <c r="AY95" s="98">
        <f t="shared" si="128"/>
        <v>5311.7043509781433</v>
      </c>
      <c r="AZ95" s="72">
        <f>SIM_BASE!V88</f>
        <v>-16.586159665584319</v>
      </c>
      <c r="BA95" s="72">
        <f>SIM_BASE!W88</f>
        <v>155.22700647214344</v>
      </c>
      <c r="BB95" s="72">
        <f>SIM_BASE!X88</f>
        <v>9.1937066607417535</v>
      </c>
      <c r="BC95" s="88">
        <f t="shared" si="129"/>
        <v>147.83455346730088</v>
      </c>
      <c r="BD95" s="73">
        <f>SIM_BASE!Y88</f>
        <v>1E-3</v>
      </c>
      <c r="BE95" s="72">
        <f>SIM_BASE!R88</f>
        <v>1E-3</v>
      </c>
      <c r="BF95" s="72">
        <f>SIM_BASE!S88</f>
        <v>1E-3</v>
      </c>
      <c r="BG95" s="72">
        <f>SIM_BASE!T88</f>
        <v>6.5696310357917627</v>
      </c>
      <c r="BH95" s="88">
        <f t="shared" si="130"/>
        <v>6.5716310357917624</v>
      </c>
      <c r="BI95" s="75">
        <f>SIM_BASE!U88</f>
        <v>-4610.7202661220354</v>
      </c>
      <c r="BJ95" s="72">
        <f t="shared" si="111"/>
        <v>-1.9999999999976694E-3</v>
      </c>
      <c r="BK95" s="72">
        <f t="shared" si="112"/>
        <v>-2.0000000000331966E-3</v>
      </c>
      <c r="BL95" s="72">
        <f t="shared" si="113"/>
        <v>-2.0000000000068852E-3</v>
      </c>
      <c r="BM95" s="88">
        <f t="shared" si="131"/>
        <v>-6.0000000000377512E-3</v>
      </c>
      <c r="BN95" s="73">
        <f t="shared" si="114"/>
        <v>-2.0000000004074536E-3</v>
      </c>
      <c r="BO95" s="74">
        <f>SIM_BASE!AB88</f>
        <v>312809.90873076639</v>
      </c>
      <c r="BP95" s="74">
        <f>SIM_BASE!AC88</f>
        <v>111152.6698976754</v>
      </c>
      <c r="BQ95" s="74">
        <f>SIM_BASE!AD88</f>
        <v>88657.255283200982</v>
      </c>
      <c r="BR95" s="95">
        <f t="shared" si="132"/>
        <v>118766.78480914411</v>
      </c>
      <c r="BS95" s="75">
        <f>SIM_BASE!AE88</f>
        <v>9886.8529849294937</v>
      </c>
    </row>
    <row r="96" spans="1:71" ht="16.2" thickBot="1" x14ac:dyDescent="0.35">
      <c r="A96" s="387">
        <v>6</v>
      </c>
      <c r="B96" s="82">
        <v>2030</v>
      </c>
      <c r="C96" s="82" t="s">
        <v>5</v>
      </c>
      <c r="D96" s="78">
        <v>50.137075580691494</v>
      </c>
      <c r="E96" s="78">
        <v>563.07992364938355</v>
      </c>
      <c r="F96" s="78">
        <v>85.178300278486304</v>
      </c>
      <c r="G96" s="96">
        <v>698.39529950856138</v>
      </c>
      <c r="H96" s="79">
        <v>749.59905166323517</v>
      </c>
      <c r="I96" s="78">
        <v>26.569666153029608</v>
      </c>
      <c r="J96" s="78">
        <v>414.66670790307421</v>
      </c>
      <c r="K96" s="78">
        <v>55.946765254896654</v>
      </c>
      <c r="L96" s="96">
        <v>497.1831393110005</v>
      </c>
      <c r="M96" s="78">
        <v>62.942544153006999</v>
      </c>
      <c r="N96" s="78">
        <v>5877.9925624495017</v>
      </c>
      <c r="O96" s="99">
        <v>5940.9351066025083</v>
      </c>
      <c r="P96" s="76">
        <v>23.568409427661898</v>
      </c>
      <c r="Q96" s="76">
        <v>148.41421574630942</v>
      </c>
      <c r="R96" s="76">
        <v>0.26809662710262666</v>
      </c>
      <c r="S96" s="89">
        <v>172.25072180107395</v>
      </c>
      <c r="T96" s="77">
        <v>1E-3</v>
      </c>
      <c r="U96" s="76">
        <v>1E-3</v>
      </c>
      <c r="V96" s="76">
        <v>1E-3</v>
      </c>
      <c r="W96" s="76">
        <v>28.965438396487031</v>
      </c>
      <c r="X96" s="89">
        <v>28.967438396487029</v>
      </c>
      <c r="Y96" s="79">
        <v>-5191.3350549392726</v>
      </c>
      <c r="Z96" s="72">
        <v>-2.0000000000118803E-3</v>
      </c>
      <c r="AA96" s="72">
        <v>-2.00000000009004E-3</v>
      </c>
      <c r="AB96" s="72">
        <v>-2.000000000005997E-3</v>
      </c>
      <c r="AC96" s="88">
        <v>-6.0000000001079173E-3</v>
      </c>
      <c r="AD96" s="73">
        <v>-2.0000000013169483E-3</v>
      </c>
      <c r="AE96" s="78">
        <v>253169.9303687356</v>
      </c>
      <c r="AF96" s="78">
        <v>92981.48164169045</v>
      </c>
      <c r="AG96" s="78">
        <v>89031.553375962016</v>
      </c>
      <c r="AH96" s="96">
        <v>101097.54104866242</v>
      </c>
      <c r="AI96" s="79">
        <v>10207.661318431085</v>
      </c>
      <c r="AK96" s="387">
        <v>6</v>
      </c>
      <c r="AL96" s="82">
        <v>2030</v>
      </c>
      <c r="AM96" s="82" t="s">
        <v>5</v>
      </c>
      <c r="AN96" s="74">
        <f>SIM_BASE!E95</f>
        <v>4.9102430078962289</v>
      </c>
      <c r="AO96" s="74">
        <f>SIM_BASE!F95</f>
        <v>550.01891526299414</v>
      </c>
      <c r="AP96" s="74">
        <f>SIM_BASE!G95</f>
        <v>82.658678793822872</v>
      </c>
      <c r="AQ96" s="95">
        <f t="shared" ref="AQ96" si="133">SUM(AN96:AP96)</f>
        <v>637.58783706471331</v>
      </c>
      <c r="AR96" s="75">
        <f>SIM_BASE!H95</f>
        <v>762.60377687563437</v>
      </c>
      <c r="AS96" s="74">
        <f>SIM_BASE!K95</f>
        <v>19.524354247038495</v>
      </c>
      <c r="AT96" s="74">
        <f>SIM_BASE!L95</f>
        <v>374.87421125688985</v>
      </c>
      <c r="AU96" s="74">
        <f>SIM_BASE!M95</f>
        <v>58.517098183852497</v>
      </c>
      <c r="AV96" s="95">
        <f t="shared" ref="AV96" si="134">SUM(AS96:AU96)</f>
        <v>452.91566368778086</v>
      </c>
      <c r="AW96" s="74">
        <f>SIM_BASE!N95</f>
        <v>88.34474547714224</v>
      </c>
      <c r="AX96" s="74">
        <f>SIM_BASE!O95</f>
        <v>5920.8762719397582</v>
      </c>
      <c r="AY96" s="98">
        <f t="shared" ref="AY96" si="135">SUM(AW96:AX96)</f>
        <v>6009.2210174169004</v>
      </c>
      <c r="AZ96" s="72">
        <f>SIM_BASE!V95</f>
        <v>-14.613111239142263</v>
      </c>
      <c r="BA96" s="72">
        <f>SIM_BASE!W95</f>
        <v>175.14570400610418</v>
      </c>
      <c r="BB96" s="72">
        <f>SIM_BASE!X95</f>
        <v>0.33166103235772576</v>
      </c>
      <c r="BC96" s="88">
        <f t="shared" ref="BC96" si="136">SUM(AZ96:BB96)</f>
        <v>160.86425379931964</v>
      </c>
      <c r="BD96" s="73">
        <f>SIM_BASE!Y95</f>
        <v>1E-3</v>
      </c>
      <c r="BE96" s="72">
        <f>SIM_BASE!R95</f>
        <v>1E-3</v>
      </c>
      <c r="BF96" s="72">
        <f>SIM_BASE!S95</f>
        <v>1E-3</v>
      </c>
      <c r="BG96" s="72">
        <f>SIM_BASE!T95</f>
        <v>23.811919577612652</v>
      </c>
      <c r="BH96" s="88">
        <f t="shared" ref="BH96" si="137">SUM(BE96:BG96)</f>
        <v>23.813919577612651</v>
      </c>
      <c r="BI96" s="75">
        <f>SIM_BASE!U95</f>
        <v>-5246.6162405412661</v>
      </c>
      <c r="BJ96" s="72">
        <f t="shared" ref="BJ96" si="138">AN96-AS96-AZ96-BE96</f>
        <v>-2.0000000000029985E-3</v>
      </c>
      <c r="BK96" s="72">
        <f t="shared" ref="BK96" si="139">AO96-AT96-BA96-BF96</f>
        <v>-1.999999999891088E-3</v>
      </c>
      <c r="BL96" s="72">
        <f t="shared" ref="BL96" si="140">AP96-AU96-BB96-BG96</f>
        <v>-2.0000000000024443E-3</v>
      </c>
      <c r="BM96" s="88">
        <f t="shared" ref="BM96" si="141">SUM(BJ96:BL96)</f>
        <v>-5.9999999998965308E-3</v>
      </c>
      <c r="BN96" s="73">
        <f t="shared" ref="BN96" si="142">AR96-AW96-AX96-BD96-BI96</f>
        <v>-2.0000000004074536E-3</v>
      </c>
      <c r="BO96" s="74">
        <f>SIM_BASE!AB95</f>
        <v>374014.62604672438</v>
      </c>
      <c r="BP96" s="74">
        <f>SIM_BASE!AC95</f>
        <v>109143.46716846319</v>
      </c>
      <c r="BQ96" s="74">
        <f>SIM_BASE!AD95</f>
        <v>89031.55337596203</v>
      </c>
      <c r="BR96" s="95">
        <f t="shared" ref="BR96" si="143">SUMPRODUCT(BO96:BQ96,AS96:AU96)/AV96</f>
        <v>117963.09479886344</v>
      </c>
      <c r="BS96" s="75">
        <f>SIM_BASE!AE95</f>
        <v>10207.30549186857</v>
      </c>
    </row>
    <row r="97" spans="1:71" x14ac:dyDescent="0.3">
      <c r="A97" s="352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52">
        <v>7</v>
      </c>
      <c r="AL97" s="80">
        <v>2018</v>
      </c>
      <c r="AM97" s="80" t="s">
        <v>6</v>
      </c>
      <c r="AN97" s="165">
        <f>SIM_BASE!E12</f>
        <v>183.80673915978605</v>
      </c>
      <c r="AO97" s="70">
        <f>SIM_BASE!F12</f>
        <v>97.454661093996563</v>
      </c>
      <c r="AP97" s="70">
        <f>SIM_BASE!G12</f>
        <v>9.4373695369141881</v>
      </c>
      <c r="AQ97" s="94">
        <f t="shared" si="126"/>
        <v>290.69876979069676</v>
      </c>
      <c r="AR97" s="71">
        <f>SIM_BASE!H12</f>
        <v>164.06058957423616</v>
      </c>
      <c r="AS97" s="70">
        <f>SIM_BASE!K12</f>
        <v>200.03376279282222</v>
      </c>
      <c r="AT97" s="70">
        <f>SIM_BASE!L12</f>
        <v>112.99485848490886</v>
      </c>
      <c r="AU97" s="70">
        <f>SIM_BASE!M12</f>
        <v>10.761976764971559</v>
      </c>
      <c r="AV97" s="94">
        <f t="shared" si="127"/>
        <v>323.79059804270264</v>
      </c>
      <c r="AW97" s="70">
        <f>SIM_BASE!N12</f>
        <v>28.592643368601237</v>
      </c>
      <c r="AX97" s="70">
        <f>SIM_BASE!O12</f>
        <v>1750.0622792807339</v>
      </c>
      <c r="AY97" s="97">
        <f t="shared" si="128"/>
        <v>1778.6549226493353</v>
      </c>
      <c r="AZ97" s="68">
        <f>SIM_BASE!V12</f>
        <v>-16.226023633036192</v>
      </c>
      <c r="BA97" s="68">
        <f>SIM_BASE!W12</f>
        <v>-15.539197390912291</v>
      </c>
      <c r="BB97" s="68">
        <f>SIM_BASE!X12</f>
        <v>-1.3236072280573743</v>
      </c>
      <c r="BC97" s="87">
        <f t="shared" si="129"/>
        <v>-33.088828252005861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0"/>
        <v>3.0000000000000001E-3</v>
      </c>
      <c r="BI97" s="71">
        <f>SIM_BASE!U12</f>
        <v>-1614.5933330750991</v>
      </c>
      <c r="BJ97" s="68">
        <f t="shared" si="111"/>
        <v>-1.9999999999763532E-3</v>
      </c>
      <c r="BK97" s="68">
        <f t="shared" si="112"/>
        <v>-2.0000000000065512E-3</v>
      </c>
      <c r="BL97" s="68">
        <f t="shared" si="113"/>
        <v>-1.9999999999963372E-3</v>
      </c>
      <c r="BM97" s="87">
        <f t="shared" si="131"/>
        <v>-5.9999999999792416E-3</v>
      </c>
      <c r="BN97" s="69">
        <f t="shared" si="114"/>
        <v>-1.9999999999527063E-3</v>
      </c>
      <c r="BO97" s="70">
        <f>SIM_BASE!AB12</f>
        <v>80365.712383166712</v>
      </c>
      <c r="BP97" s="70">
        <f>SIM_BASE!AC12</f>
        <v>79191.634973012246</v>
      </c>
      <c r="BQ97" s="70">
        <f>SIM_BASE!AD12</f>
        <v>82110.303847000032</v>
      </c>
      <c r="BR97" s="94">
        <f t="shared" si="132"/>
        <v>80013.974381195541</v>
      </c>
      <c r="BS97" s="71">
        <f>SIM_BASE!AE12</f>
        <v>6862.6360620016176</v>
      </c>
    </row>
    <row r="98" spans="1:71" x14ac:dyDescent="0.3">
      <c r="A98" s="353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53">
        <v>7</v>
      </c>
      <c r="AL98" s="81">
        <v>2019</v>
      </c>
      <c r="AM98" s="81" t="s">
        <v>6</v>
      </c>
      <c r="AN98" s="167">
        <f>SIM_BASE!E19</f>
        <v>148.50955716377538</v>
      </c>
      <c r="AO98" s="74">
        <f>SIM_BASE!F19</f>
        <v>99.261783157787917</v>
      </c>
      <c r="AP98" s="74">
        <f>SIM_BASE!G19</f>
        <v>10.278456554730537</v>
      </c>
      <c r="AQ98" s="95">
        <f t="shared" si="126"/>
        <v>258.04979687629384</v>
      </c>
      <c r="AR98" s="75">
        <f>SIM_BASE!H19</f>
        <v>172.24108763938949</v>
      </c>
      <c r="AS98" s="74">
        <f>SIM_BASE!K19</f>
        <v>137.67804772275636</v>
      </c>
      <c r="AT98" s="74">
        <f>SIM_BASE!L19</f>
        <v>103.16403530704909</v>
      </c>
      <c r="AU98" s="74">
        <f>SIM_BASE!M19</f>
        <v>11.832753549447995</v>
      </c>
      <c r="AV98" s="95">
        <f t="shared" si="127"/>
        <v>252.67483657925345</v>
      </c>
      <c r="AW98" s="74">
        <f>SIM_BASE!N19</f>
        <v>29.073095951854093</v>
      </c>
      <c r="AX98" s="74">
        <f>SIM_BASE!O19</f>
        <v>1770.1743773844096</v>
      </c>
      <c r="AY98" s="98">
        <f t="shared" si="128"/>
        <v>1799.2474733362637</v>
      </c>
      <c r="AZ98" s="72">
        <f>SIM_BASE!V19</f>
        <v>10.832509441018965</v>
      </c>
      <c r="BA98" s="72">
        <f>SIM_BASE!W19</f>
        <v>-3.9012521492611727</v>
      </c>
      <c r="BB98" s="72">
        <f>SIM_BASE!X19</f>
        <v>-1.5532969947174557</v>
      </c>
      <c r="BC98" s="88">
        <f t="shared" si="129"/>
        <v>5.3779602970403371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0"/>
        <v>3.0000000000000001E-3</v>
      </c>
      <c r="BI98" s="75">
        <f>SIM_BASE!U19</f>
        <v>-1627.0053856968741</v>
      </c>
      <c r="BJ98" s="72">
        <f t="shared" si="111"/>
        <v>-1.9999999999426024E-3</v>
      </c>
      <c r="BK98" s="72">
        <f t="shared" si="112"/>
        <v>-2.000000000000334E-3</v>
      </c>
      <c r="BL98" s="72">
        <f t="shared" si="113"/>
        <v>-2.0000000000018883E-3</v>
      </c>
      <c r="BM98" s="88">
        <f t="shared" si="131"/>
        <v>-5.9999999999448246E-3</v>
      </c>
      <c r="BN98" s="73">
        <f t="shared" si="114"/>
        <v>-1.9999999999527063E-3</v>
      </c>
      <c r="BO98" s="74">
        <f>SIM_BASE!AB19</f>
        <v>129664.81682014171</v>
      </c>
      <c r="BP98" s="74">
        <f>SIM_BASE!AC19</f>
        <v>95467.963783597515</v>
      </c>
      <c r="BQ98" s="74">
        <f>SIM_BASE!AD19</f>
        <v>94297.779143699416</v>
      </c>
      <c r="BR98" s="95">
        <f t="shared" si="132"/>
        <v>114046.42423274377</v>
      </c>
      <c r="BS98" s="75">
        <f>SIM_BASE!AE19</f>
        <v>7163.7108028596213</v>
      </c>
    </row>
    <row r="99" spans="1:71" x14ac:dyDescent="0.3">
      <c r="A99" s="353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53">
        <v>7</v>
      </c>
      <c r="AL99" s="81">
        <v>2020</v>
      </c>
      <c r="AM99" s="81" t="s">
        <v>6</v>
      </c>
      <c r="AN99" s="167">
        <f>SIM_BASE!E26</f>
        <v>150.17043702832694</v>
      </c>
      <c r="AO99" s="74">
        <f>SIM_BASE!F26</f>
        <v>106.02349868091696</v>
      </c>
      <c r="AP99" s="74">
        <f>SIM_BASE!G26</f>
        <v>10.330725884559365</v>
      </c>
      <c r="AQ99" s="95">
        <f t="shared" si="126"/>
        <v>266.52466159380322</v>
      </c>
      <c r="AR99" s="75">
        <f>SIM_BASE!H26</f>
        <v>177.93136130503959</v>
      </c>
      <c r="AS99" s="74">
        <f>SIM_BASE!K26</f>
        <v>154.62187789796678</v>
      </c>
      <c r="AT99" s="74">
        <f>SIM_BASE!L26</f>
        <v>109.8583116571634</v>
      </c>
      <c r="AU99" s="74">
        <f>SIM_BASE!M26</f>
        <v>11.803124320597314</v>
      </c>
      <c r="AV99" s="95">
        <f t="shared" si="127"/>
        <v>276.28331387572752</v>
      </c>
      <c r="AW99" s="74">
        <f>SIM_BASE!N26</f>
        <v>30.048631221163603</v>
      </c>
      <c r="AX99" s="74">
        <f>SIM_BASE!O26</f>
        <v>1837.3229787527944</v>
      </c>
      <c r="AY99" s="98">
        <f t="shared" si="128"/>
        <v>1867.3716099739579</v>
      </c>
      <c r="AZ99" s="72">
        <f>SIM_BASE!V26</f>
        <v>-4.4504408696398512</v>
      </c>
      <c r="BA99" s="72">
        <f>SIM_BASE!W26</f>
        <v>-3.8338129762464193</v>
      </c>
      <c r="BB99" s="72">
        <f>SIM_BASE!X26</f>
        <v>-1.4713984360379513</v>
      </c>
      <c r="BC99" s="88">
        <f t="shared" si="129"/>
        <v>-9.7556522819242222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0"/>
        <v>3.0000000000000001E-3</v>
      </c>
      <c r="BI99" s="75">
        <f>SIM_BASE!U26</f>
        <v>-1689.4392486689183</v>
      </c>
      <c r="BJ99" s="72">
        <f t="shared" si="111"/>
        <v>-1.9999999999878995E-3</v>
      </c>
      <c r="BK99" s="72">
        <f t="shared" si="112"/>
        <v>-2.000000000020318E-3</v>
      </c>
      <c r="BL99" s="72">
        <f t="shared" si="113"/>
        <v>-1.9999999999976694E-3</v>
      </c>
      <c r="BM99" s="88">
        <f t="shared" si="131"/>
        <v>-6.0000000000058869E-3</v>
      </c>
      <c r="BN99" s="73">
        <f t="shared" si="114"/>
        <v>-2.00000000018008E-3</v>
      </c>
      <c r="BO99" s="74">
        <f>SIM_BASE!AB26</f>
        <v>132709.12790273965</v>
      </c>
      <c r="BP99" s="74">
        <f>SIM_BASE!AC26</f>
        <v>102443.73786768832</v>
      </c>
      <c r="BQ99" s="74">
        <f>SIM_BASE!AD26</f>
        <v>92252.255372127038</v>
      </c>
      <c r="BR99" s="95">
        <f t="shared" si="132"/>
        <v>118946.36353721598</v>
      </c>
      <c r="BS99" s="75">
        <f>SIM_BASE!AE26</f>
        <v>7382.16302837074</v>
      </c>
    </row>
    <row r="100" spans="1:71" x14ac:dyDescent="0.3">
      <c r="A100" s="353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53">
        <v>7</v>
      </c>
      <c r="AL100" s="81">
        <v>2021</v>
      </c>
      <c r="AM100" s="81" t="s">
        <v>6</v>
      </c>
      <c r="AN100" s="167">
        <f>SIM_BASE!E33</f>
        <v>154.64965299635742</v>
      </c>
      <c r="AO100" s="74">
        <f>SIM_BASE!F33</f>
        <v>111.12903479521091</v>
      </c>
      <c r="AP100" s="74">
        <f>SIM_BASE!G33</f>
        <v>10.974537946995092</v>
      </c>
      <c r="AQ100" s="95">
        <f t="shared" si="126"/>
        <v>276.75322573856346</v>
      </c>
      <c r="AR100" s="75">
        <f>SIM_BASE!H33</f>
        <v>185.57092646754302</v>
      </c>
      <c r="AS100" s="74">
        <f>SIM_BASE!K33</f>
        <v>160.60382066871784</v>
      </c>
      <c r="AT100" s="74">
        <f>SIM_BASE!L33</f>
        <v>115.3224545089376</v>
      </c>
      <c r="AU100" s="74">
        <f>SIM_BASE!M33</f>
        <v>12.404869519212017</v>
      </c>
      <c r="AV100" s="95">
        <f t="shared" si="127"/>
        <v>288.33114469686745</v>
      </c>
      <c r="AW100" s="74">
        <f>SIM_BASE!N33</f>
        <v>30.937139036021641</v>
      </c>
      <c r="AX100" s="74">
        <f>SIM_BASE!O33</f>
        <v>1925.5138942656954</v>
      </c>
      <c r="AY100" s="98">
        <f t="shared" si="128"/>
        <v>1956.451033301717</v>
      </c>
      <c r="AZ100" s="72">
        <f>SIM_BASE!V33</f>
        <v>-5.953167672360431</v>
      </c>
      <c r="BA100" s="72">
        <f>SIM_BASE!W33</f>
        <v>-4.1924197137266619</v>
      </c>
      <c r="BB100" s="72">
        <f>SIM_BASE!X33</f>
        <v>-1.4293315722169269</v>
      </c>
      <c r="BC100" s="88">
        <f t="shared" si="129"/>
        <v>-11.574918958304021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0"/>
        <v>3.0000000000000001E-3</v>
      </c>
      <c r="BI100" s="75">
        <f>SIM_BASE!U33</f>
        <v>-1770.8791068341736</v>
      </c>
      <c r="BJ100" s="72">
        <f t="shared" si="111"/>
        <v>-1.9999999999958931E-3</v>
      </c>
      <c r="BK100" s="72">
        <f t="shared" si="112"/>
        <v>-2.0000000000216503E-3</v>
      </c>
      <c r="BL100" s="72">
        <f t="shared" si="113"/>
        <v>-1.9999999999983356E-3</v>
      </c>
      <c r="BM100" s="88">
        <f t="shared" si="131"/>
        <v>-6.0000000000158789E-3</v>
      </c>
      <c r="BN100" s="73">
        <f t="shared" si="114"/>
        <v>-2.0000000004074536E-3</v>
      </c>
      <c r="BO100" s="74">
        <f>SIM_BASE!AB33</f>
        <v>140088.24919687957</v>
      </c>
      <c r="BP100" s="74">
        <f>SIM_BASE!AC33</f>
        <v>105900.61320326835</v>
      </c>
      <c r="BQ100" s="74">
        <f>SIM_BASE!AD33</f>
        <v>94882.637189278321</v>
      </c>
      <c r="BR100" s="95">
        <f t="shared" si="132"/>
        <v>124469.50006776166</v>
      </c>
      <c r="BS100" s="75">
        <f>SIM_BASE!AE33</f>
        <v>7638.2012672831406</v>
      </c>
    </row>
    <row r="101" spans="1:71" x14ac:dyDescent="0.3">
      <c r="A101" s="353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53">
        <v>7</v>
      </c>
      <c r="AL101" s="81">
        <v>2022</v>
      </c>
      <c r="AM101" s="81" t="s">
        <v>6</v>
      </c>
      <c r="AN101" s="167">
        <f>SIM_BASE!E40</f>
        <v>159.27383622226793</v>
      </c>
      <c r="AO101" s="74">
        <f>SIM_BASE!F40</f>
        <v>117.16598185834809</v>
      </c>
      <c r="AP101" s="74">
        <f>SIM_BASE!G40</f>
        <v>11.747982320905981</v>
      </c>
      <c r="AQ101" s="95">
        <f t="shared" si="126"/>
        <v>288.187800401522</v>
      </c>
      <c r="AR101" s="75">
        <f>SIM_BASE!H40</f>
        <v>194.31242706898286</v>
      </c>
      <c r="AS101" s="74">
        <f>SIM_BASE!K40</f>
        <v>166.76418766129504</v>
      </c>
      <c r="AT101" s="74">
        <f>SIM_BASE!L40</f>
        <v>121.67466375717521</v>
      </c>
      <c r="AU101" s="74">
        <f>SIM_BASE!M40</f>
        <v>13.152611737408648</v>
      </c>
      <c r="AV101" s="95">
        <f t="shared" si="127"/>
        <v>301.59146315587884</v>
      </c>
      <c r="AW101" s="74">
        <f>SIM_BASE!N40</f>
        <v>31.873632696841828</v>
      </c>
      <c r="AX101" s="74">
        <f>SIM_BASE!O40</f>
        <v>2019.673617518765</v>
      </c>
      <c r="AY101" s="98">
        <f t="shared" si="128"/>
        <v>2051.5472502156067</v>
      </c>
      <c r="AZ101" s="72">
        <f>SIM_BASE!V40</f>
        <v>-7.4893514390270779</v>
      </c>
      <c r="BA101" s="72">
        <f>SIM_BASE!W40</f>
        <v>-4.5076818988270997</v>
      </c>
      <c r="BB101" s="72">
        <f>SIM_BASE!X40</f>
        <v>-1.4036294165026664</v>
      </c>
      <c r="BC101" s="88">
        <f t="shared" si="129"/>
        <v>-13.400662754356842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0"/>
        <v>3.0000000000000001E-3</v>
      </c>
      <c r="BI101" s="75">
        <f>SIM_BASE!U40</f>
        <v>-1857.233823146624</v>
      </c>
      <c r="BJ101" s="72">
        <f t="shared" si="111"/>
        <v>-2.000000000030532E-3</v>
      </c>
      <c r="BK101" s="72">
        <f t="shared" si="112"/>
        <v>-2.0000000000207621E-3</v>
      </c>
      <c r="BL101" s="72">
        <f t="shared" si="113"/>
        <v>-2.000000000000556E-3</v>
      </c>
      <c r="BM101" s="88">
        <f t="shared" si="131"/>
        <v>-6.0000000000518501E-3</v>
      </c>
      <c r="BN101" s="73">
        <f t="shared" si="114"/>
        <v>-1.9999999999527063E-3</v>
      </c>
      <c r="BO101" s="74">
        <f>SIM_BASE!AB40</f>
        <v>147730.65905052287</v>
      </c>
      <c r="BP101" s="74">
        <f>SIM_BASE!AC40</f>
        <v>108750.68331191242</v>
      </c>
      <c r="BQ101" s="74">
        <f>SIM_BASE!AD40</f>
        <v>96669.90632511719</v>
      </c>
      <c r="BR101" s="95">
        <f t="shared" si="132"/>
        <v>129777.7049442693</v>
      </c>
      <c r="BS101" s="75">
        <f>SIM_BASE!AE40</f>
        <v>7901.9796474868072</v>
      </c>
    </row>
    <row r="102" spans="1:71" x14ac:dyDescent="0.3">
      <c r="A102" s="353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53">
        <v>7</v>
      </c>
      <c r="AL102" s="81">
        <v>2023</v>
      </c>
      <c r="AM102" s="81" t="s">
        <v>6</v>
      </c>
      <c r="AN102" s="167">
        <f>SIM_BASE!E47</f>
        <v>163.94501227060132</v>
      </c>
      <c r="AO102" s="74">
        <f>SIM_BASE!F47</f>
        <v>124.21162632056595</v>
      </c>
      <c r="AP102" s="74">
        <f>SIM_BASE!G47</f>
        <v>12.676565356017907</v>
      </c>
      <c r="AQ102" s="95">
        <f t="shared" si="126"/>
        <v>300.83320394718521</v>
      </c>
      <c r="AR102" s="75">
        <f>SIM_BASE!H47</f>
        <v>204.04411295183763</v>
      </c>
      <c r="AS102" s="74">
        <f>SIM_BASE!K47</f>
        <v>173.26980781609399</v>
      </c>
      <c r="AT102" s="74">
        <f>SIM_BASE!L47</f>
        <v>129.09782081770368</v>
      </c>
      <c r="AU102" s="74">
        <f>SIM_BASE!M47</f>
        <v>14.064150216570606</v>
      </c>
      <c r="AV102" s="95">
        <f t="shared" si="127"/>
        <v>316.43177885036829</v>
      </c>
      <c r="AW102" s="74">
        <f>SIM_BASE!N47</f>
        <v>32.8786184635835</v>
      </c>
      <c r="AX102" s="74">
        <f>SIM_BASE!O47</f>
        <v>2119.2002433976932</v>
      </c>
      <c r="AY102" s="98">
        <f t="shared" si="128"/>
        <v>2152.0788618612764</v>
      </c>
      <c r="AZ102" s="72">
        <f>SIM_BASE!V47</f>
        <v>-9.3237955454926134</v>
      </c>
      <c r="BA102" s="72">
        <f>SIM_BASE!W47</f>
        <v>-4.885194497137733</v>
      </c>
      <c r="BB102" s="72">
        <f>SIM_BASE!X47</f>
        <v>-1.3865848605527014</v>
      </c>
      <c r="BC102" s="88">
        <f t="shared" si="129"/>
        <v>-15.595574903183049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0"/>
        <v>3.0000000000000001E-3</v>
      </c>
      <c r="BI102" s="75">
        <f>SIM_BASE!U47</f>
        <v>-1948.0337489094393</v>
      </c>
      <c r="BJ102" s="72">
        <f t="shared" si="111"/>
        <v>-2.0000000000491838E-3</v>
      </c>
      <c r="BK102" s="72">
        <f t="shared" si="112"/>
        <v>-1.9999999999896758E-3</v>
      </c>
      <c r="BL102" s="72">
        <f t="shared" si="113"/>
        <v>-1.9999999999983356E-3</v>
      </c>
      <c r="BM102" s="88">
        <f t="shared" si="131"/>
        <v>-6.0000000000371952E-3</v>
      </c>
      <c r="BN102" s="73">
        <f t="shared" si="114"/>
        <v>-1.9999999997253326E-3</v>
      </c>
      <c r="BO102" s="74">
        <f>SIM_BASE!AB47</f>
        <v>155450.19965875239</v>
      </c>
      <c r="BP102" s="74">
        <f>SIM_BASE!AC47</f>
        <v>110832.87594989745</v>
      </c>
      <c r="BQ102" s="74">
        <f>SIM_BASE!AD47</f>
        <v>97549.197917239901</v>
      </c>
      <c r="BR102" s="95">
        <f t="shared" si="132"/>
        <v>134673.75403246589</v>
      </c>
      <c r="BS102" s="75">
        <f>SIM_BASE!AE47</f>
        <v>8160.6330816506324</v>
      </c>
    </row>
    <row r="103" spans="1:71" x14ac:dyDescent="0.3">
      <c r="A103" s="353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53">
        <v>7</v>
      </c>
      <c r="AL103" s="81">
        <v>2024</v>
      </c>
      <c r="AM103" s="81" t="s">
        <v>6</v>
      </c>
      <c r="AN103" s="167">
        <f>SIM_BASE!E54</f>
        <v>168.96076109220633</v>
      </c>
      <c r="AO103" s="74">
        <f>SIM_BASE!F54</f>
        <v>132.18966507035887</v>
      </c>
      <c r="AP103" s="74">
        <f>SIM_BASE!G54</f>
        <v>13.790043536327063</v>
      </c>
      <c r="AQ103" s="95">
        <f t="shared" si="126"/>
        <v>314.94046969889223</v>
      </c>
      <c r="AR103" s="75">
        <f>SIM_BASE!H54</f>
        <v>215.13684651736571</v>
      </c>
      <c r="AS103" s="74">
        <f>SIM_BASE!K54</f>
        <v>179.6391476903033</v>
      </c>
      <c r="AT103" s="74">
        <f>SIM_BASE!L54</f>
        <v>137.99282040289455</v>
      </c>
      <c r="AU103" s="74">
        <f>SIM_BASE!M54</f>
        <v>15.16176856913029</v>
      </c>
      <c r="AV103" s="95">
        <f t="shared" si="127"/>
        <v>332.79373666232817</v>
      </c>
      <c r="AW103" s="74">
        <f>SIM_BASE!N54</f>
        <v>33.888504830190413</v>
      </c>
      <c r="AX103" s="74">
        <f>SIM_BASE!O54</f>
        <v>2223.2942129727644</v>
      </c>
      <c r="AY103" s="98">
        <f t="shared" si="128"/>
        <v>2257.1827178029548</v>
      </c>
      <c r="AZ103" s="72">
        <f>SIM_BASE!V54</f>
        <v>-10.677386598096946</v>
      </c>
      <c r="BA103" s="72">
        <f>SIM_BASE!W54</f>
        <v>-5.8021553325356869</v>
      </c>
      <c r="BB103" s="72">
        <f>SIM_BASE!X54</f>
        <v>-1.370725032803225</v>
      </c>
      <c r="BC103" s="88">
        <f t="shared" si="129"/>
        <v>-17.85026696343586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0"/>
        <v>3.0000000000000001E-3</v>
      </c>
      <c r="BI103" s="75">
        <f>SIM_BASE!U54</f>
        <v>-2042.0448712855894</v>
      </c>
      <c r="BJ103" s="72">
        <f t="shared" si="111"/>
        <v>-2.0000000000314202E-3</v>
      </c>
      <c r="BK103" s="72">
        <f t="shared" si="112"/>
        <v>-1.9999999999941167E-3</v>
      </c>
      <c r="BL103" s="72">
        <f t="shared" si="113"/>
        <v>-2.0000000000014442E-3</v>
      </c>
      <c r="BM103" s="88">
        <f t="shared" si="131"/>
        <v>-6.0000000000269811E-3</v>
      </c>
      <c r="BN103" s="73">
        <f t="shared" si="114"/>
        <v>-1.9999999997253326E-3</v>
      </c>
      <c r="BO103" s="74">
        <f>SIM_BASE!AB54</f>
        <v>163698.95344029067</v>
      </c>
      <c r="BP103" s="74">
        <f>SIM_BASE!AC54</f>
        <v>111847.69118115488</v>
      </c>
      <c r="BQ103" s="74">
        <f>SIM_BASE!AD54</f>
        <v>97491.601605633259</v>
      </c>
      <c r="BR103" s="95">
        <f t="shared" si="132"/>
        <v>139182.49904872596</v>
      </c>
      <c r="BS103" s="75">
        <f>SIM_BASE!AE54</f>
        <v>8429.1787540903424</v>
      </c>
    </row>
    <row r="104" spans="1:71" x14ac:dyDescent="0.3">
      <c r="A104" s="353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53">
        <v>7</v>
      </c>
      <c r="AL104" s="81">
        <v>2025</v>
      </c>
      <c r="AM104" s="81" t="s">
        <v>6</v>
      </c>
      <c r="AN104" s="167">
        <f>SIM_BASE!E61</f>
        <v>174.20540138359442</v>
      </c>
      <c r="AO104" s="74">
        <f>SIM_BASE!F61</f>
        <v>141.61866798401218</v>
      </c>
      <c r="AP104" s="74">
        <f>SIM_BASE!G61</f>
        <v>15.115914934029663</v>
      </c>
      <c r="AQ104" s="95">
        <f t="shared" si="126"/>
        <v>330.93998430163629</v>
      </c>
      <c r="AR104" s="75">
        <f>SIM_BASE!H61</f>
        <v>227.78925900537325</v>
      </c>
      <c r="AS104" s="74">
        <f>SIM_BASE!K61</f>
        <v>186.07476810738217</v>
      </c>
      <c r="AT104" s="74">
        <f>SIM_BASE!L61</f>
        <v>148.15870795053556</v>
      </c>
      <c r="AU104" s="74">
        <f>SIM_BASE!M61</f>
        <v>16.491794058146322</v>
      </c>
      <c r="AV104" s="95">
        <f t="shared" si="127"/>
        <v>350.72527011606405</v>
      </c>
      <c r="AW104" s="74">
        <f>SIM_BASE!N61</f>
        <v>34.935262254156321</v>
      </c>
      <c r="AX104" s="74">
        <f>SIM_BASE!O61</f>
        <v>2336.5233796263128</v>
      </c>
      <c r="AY104" s="98">
        <f t="shared" si="128"/>
        <v>2371.4586418804693</v>
      </c>
      <c r="AZ104" s="72">
        <f>SIM_BASE!V61</f>
        <v>-11.868366723787725</v>
      </c>
      <c r="BA104" s="72">
        <f>SIM_BASE!W61</f>
        <v>-6.5390399665233518</v>
      </c>
      <c r="BB104" s="72">
        <f>SIM_BASE!X61</f>
        <v>-1.3748791241166638</v>
      </c>
      <c r="BC104" s="88">
        <f t="shared" si="129"/>
        <v>-19.782285814427741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0"/>
        <v>3.0000000000000001E-3</v>
      </c>
      <c r="BI104" s="75">
        <f>SIM_BASE!U61</f>
        <v>-2143.6683828750956</v>
      </c>
      <c r="BJ104" s="72">
        <f t="shared" si="111"/>
        <v>-2.0000000000243148E-3</v>
      </c>
      <c r="BK104" s="72">
        <f t="shared" si="112"/>
        <v>-2.0000000000287557E-3</v>
      </c>
      <c r="BL104" s="72">
        <f t="shared" si="113"/>
        <v>-1.999999999995671E-3</v>
      </c>
      <c r="BM104" s="88">
        <f t="shared" si="131"/>
        <v>-6.0000000000487415E-3</v>
      </c>
      <c r="BN104" s="73">
        <f t="shared" si="114"/>
        <v>-2.0000000004074536E-3</v>
      </c>
      <c r="BO104" s="74">
        <f>SIM_BASE!AB61</f>
        <v>172298.50346800653</v>
      </c>
      <c r="BP104" s="74">
        <f>SIM_BASE!AC61</f>
        <v>112243.03233621524</v>
      </c>
      <c r="BQ104" s="74">
        <f>SIM_BASE!AD61</f>
        <v>96515.768492507996</v>
      </c>
      <c r="BR104" s="95">
        <f t="shared" si="132"/>
        <v>143365.50339285424</v>
      </c>
      <c r="BS104" s="75">
        <f>SIM_BASE!AE61</f>
        <v>8708.0048226064464</v>
      </c>
    </row>
    <row r="105" spans="1:71" x14ac:dyDescent="0.3">
      <c r="A105" s="353">
        <v>7</v>
      </c>
      <c r="B105" s="81">
        <v>2026</v>
      </c>
      <c r="C105" s="81" t="s">
        <v>6</v>
      </c>
      <c r="D105" s="74">
        <v>217.8154361195611</v>
      </c>
      <c r="E105" s="74">
        <v>152.53177160175102</v>
      </c>
      <c r="F105" s="74">
        <v>16.636142758982828</v>
      </c>
      <c r="G105" s="95">
        <v>386.98335048029492</v>
      </c>
      <c r="H105" s="75">
        <v>237.84919082991485</v>
      </c>
      <c r="I105" s="74">
        <v>250.42769043360732</v>
      </c>
      <c r="J105" s="74">
        <v>177.51947207113648</v>
      </c>
      <c r="K105" s="74">
        <v>18.00239329507756</v>
      </c>
      <c r="L105" s="95">
        <v>445.94955579982138</v>
      </c>
      <c r="M105" s="74">
        <v>35.801735767123958</v>
      </c>
      <c r="N105" s="74">
        <v>2483.432113651601</v>
      </c>
      <c r="O105" s="98">
        <v>2519.2338494187247</v>
      </c>
      <c r="P105" s="72">
        <v>-32.611254314046327</v>
      </c>
      <c r="Q105" s="72">
        <v>-24.986700469385461</v>
      </c>
      <c r="R105" s="72">
        <v>-1.365250536094724</v>
      </c>
      <c r="S105" s="88">
        <v>-58.963205319526516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-2281.3836585888102</v>
      </c>
      <c r="Z105" s="72">
        <v>-1.9999999998981935E-3</v>
      </c>
      <c r="AA105" s="72">
        <v>-1.9999999999976694E-3</v>
      </c>
      <c r="AB105" s="72">
        <v>-2.0000000000081055E-3</v>
      </c>
      <c r="AC105" s="88">
        <v>-5.9999999999039684E-3</v>
      </c>
      <c r="AD105" s="73">
        <v>-1.9999999999527063E-3</v>
      </c>
      <c r="AE105" s="74">
        <v>132837.17789143912</v>
      </c>
      <c r="AF105" s="74">
        <v>95804.59386084479</v>
      </c>
      <c r="AG105" s="74">
        <v>91159.876359961563</v>
      </c>
      <c r="AH105" s="95">
        <v>116413.13206622911</v>
      </c>
      <c r="AI105" s="75">
        <v>8985.5805637327612</v>
      </c>
      <c r="AK105" s="353">
        <v>7</v>
      </c>
      <c r="AL105" s="81">
        <v>2026</v>
      </c>
      <c r="AM105" s="81" t="s">
        <v>6</v>
      </c>
      <c r="AN105" s="167">
        <f>SIM_BASE!E68</f>
        <v>167.39056377010689</v>
      </c>
      <c r="AO105" s="74">
        <f>SIM_BASE!F68</f>
        <v>152.57994419990797</v>
      </c>
      <c r="AP105" s="74">
        <f>SIM_BASE!G68</f>
        <v>16.717968966357063</v>
      </c>
      <c r="AQ105" s="95">
        <f t="shared" si="126"/>
        <v>336.6884769363719</v>
      </c>
      <c r="AR105" s="75">
        <f>SIM_BASE!H68</f>
        <v>242.67117679262816</v>
      </c>
      <c r="AS105" s="74">
        <f>SIM_BASE!K68</f>
        <v>178.9371749574365</v>
      </c>
      <c r="AT105" s="74">
        <f>SIM_BASE!L68</f>
        <v>160.14512327917461</v>
      </c>
      <c r="AU105" s="74">
        <f>SIM_BASE!M68</f>
        <v>18.106788310006259</v>
      </c>
      <c r="AV105" s="95">
        <f t="shared" si="127"/>
        <v>357.18908654661738</v>
      </c>
      <c r="AW105" s="74">
        <f>SIM_BASE!N68</f>
        <v>36.124233999895544</v>
      </c>
      <c r="AX105" s="74">
        <f>SIM_BASE!O68</f>
        <v>2422.2848241801344</v>
      </c>
      <c r="AY105" s="98">
        <f t="shared" si="128"/>
        <v>2458.4090581800301</v>
      </c>
      <c r="AZ105" s="72">
        <f>SIM_BASE!V68</f>
        <v>-11.545611187329607</v>
      </c>
      <c r="BA105" s="72">
        <f>SIM_BASE!W68</f>
        <v>-7.564179079266661</v>
      </c>
      <c r="BB105" s="72">
        <f>SIM_BASE!X68</f>
        <v>-1.3878193436491955</v>
      </c>
      <c r="BC105" s="88">
        <f t="shared" si="129"/>
        <v>-20.497609610245462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0"/>
        <v>3.0000000000000001E-3</v>
      </c>
      <c r="BI105" s="75">
        <f>SIM_BASE!U68</f>
        <v>-2215.7368813874018</v>
      </c>
      <c r="BJ105" s="72">
        <f t="shared" si="111"/>
        <v>-1.9999999999958931E-3</v>
      </c>
      <c r="BK105" s="72">
        <f t="shared" si="112"/>
        <v>-1.9999999999807941E-3</v>
      </c>
      <c r="BL105" s="72">
        <f t="shared" si="113"/>
        <v>-2.000000000000556E-3</v>
      </c>
      <c r="BM105" s="88">
        <f t="shared" si="131"/>
        <v>-5.9999999999772432E-3</v>
      </c>
      <c r="BN105" s="73">
        <f t="shared" si="114"/>
        <v>-1.9999999999527063E-3</v>
      </c>
      <c r="BO105" s="74">
        <f>SIM_BASE!AB68</f>
        <v>196927.36328869939</v>
      </c>
      <c r="BP105" s="74">
        <f>SIM_BASE!AC68</f>
        <v>112666.78833323321</v>
      </c>
      <c r="BQ105" s="74">
        <f>SIM_BASE!AD68</f>
        <v>95399.038103591098</v>
      </c>
      <c r="BR105" s="95">
        <f t="shared" si="132"/>
        <v>154002.55782039888</v>
      </c>
      <c r="BS105" s="75">
        <f>SIM_BASE!AE68</f>
        <v>8985.5899967038786</v>
      </c>
    </row>
    <row r="106" spans="1:71" x14ac:dyDescent="0.3">
      <c r="A106" s="353">
        <v>7</v>
      </c>
      <c r="B106" s="81">
        <v>2027</v>
      </c>
      <c r="C106" s="81" t="s">
        <v>6</v>
      </c>
      <c r="D106" s="74">
        <v>207.67672774876581</v>
      </c>
      <c r="E106" s="74">
        <v>165.25054546176239</v>
      </c>
      <c r="F106" s="74">
        <v>18.545841932459336</v>
      </c>
      <c r="G106" s="95">
        <v>391.47311514298752</v>
      </c>
      <c r="H106" s="75">
        <v>254.59086339284471</v>
      </c>
      <c r="I106" s="74">
        <v>238.39239476870671</v>
      </c>
      <c r="J106" s="74">
        <v>193.06479122358536</v>
      </c>
      <c r="K106" s="74">
        <v>19.935976707034058</v>
      </c>
      <c r="L106" s="95">
        <v>451.39316269932613</v>
      </c>
      <c r="M106" s="74">
        <v>36.934858961525862</v>
      </c>
      <c r="N106" s="74">
        <v>2561.8936575746693</v>
      </c>
      <c r="O106" s="98">
        <v>2598.8285165361954</v>
      </c>
      <c r="P106" s="72">
        <v>-30.714667019940801</v>
      </c>
      <c r="Q106" s="72">
        <v>-27.813245761822948</v>
      </c>
      <c r="R106" s="72">
        <v>-1.3891347745747216</v>
      </c>
      <c r="S106" s="88">
        <v>-59.917047556338467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-2344.2366531433504</v>
      </c>
      <c r="Z106" s="72">
        <v>-2.0000000000935927E-3</v>
      </c>
      <c r="AA106" s="72">
        <v>-2.0000000000260912E-3</v>
      </c>
      <c r="AB106" s="72">
        <v>-2.0000000000007781E-3</v>
      </c>
      <c r="AC106" s="88">
        <v>-6.0000000001204619E-3</v>
      </c>
      <c r="AD106" s="73">
        <v>-2.0000000004074536E-3</v>
      </c>
      <c r="AE106" s="74">
        <v>153405.43868788582</v>
      </c>
      <c r="AF106" s="74">
        <v>95576.140583142973</v>
      </c>
      <c r="AG106" s="74">
        <v>89355.42543654106</v>
      </c>
      <c r="AH106" s="95">
        <v>125842.54681096537</v>
      </c>
      <c r="AI106" s="75">
        <v>9273.3298075608363</v>
      </c>
      <c r="AK106" s="353">
        <v>7</v>
      </c>
      <c r="AL106" s="81">
        <v>2027</v>
      </c>
      <c r="AM106" s="81" t="s">
        <v>6</v>
      </c>
      <c r="AN106" s="167">
        <f>SIM_BASE!E75</f>
        <v>159.24183846167622</v>
      </c>
      <c r="AO106" s="74">
        <f>SIM_BASE!F75</f>
        <v>165.32363314406476</v>
      </c>
      <c r="AP106" s="74">
        <f>SIM_BASE!G75</f>
        <v>18.638386123359929</v>
      </c>
      <c r="AQ106" s="95">
        <f t="shared" si="126"/>
        <v>343.20385772910089</v>
      </c>
      <c r="AR106" s="75">
        <f>SIM_BASE!H75</f>
        <v>259.67708015469907</v>
      </c>
      <c r="AS106" s="74">
        <f>SIM_BASE!K75</f>
        <v>170.69075737624431</v>
      </c>
      <c r="AT106" s="74">
        <f>SIM_BASE!L75</f>
        <v>174.0869643246082</v>
      </c>
      <c r="AU106" s="74">
        <f>SIM_BASE!M75</f>
        <v>20.053463627358298</v>
      </c>
      <c r="AV106" s="95">
        <f t="shared" si="127"/>
        <v>364.83118532821084</v>
      </c>
      <c r="AW106" s="74">
        <f>SIM_BASE!N75</f>
        <v>37.375659820676411</v>
      </c>
      <c r="AX106" s="74">
        <f>SIM_BASE!O75</f>
        <v>2515.8796427582874</v>
      </c>
      <c r="AY106" s="98">
        <f t="shared" si="128"/>
        <v>2553.2553025789639</v>
      </c>
      <c r="AZ106" s="72">
        <f>SIM_BASE!V75</f>
        <v>-11.447918914568126</v>
      </c>
      <c r="BA106" s="72">
        <f>SIM_BASE!W75</f>
        <v>-8.7623311805434287</v>
      </c>
      <c r="BB106" s="72">
        <f>SIM_BASE!X75</f>
        <v>-1.4140775039983651</v>
      </c>
      <c r="BC106" s="88">
        <f t="shared" si="129"/>
        <v>-21.624327599109918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0"/>
        <v>3.0000000000000001E-3</v>
      </c>
      <c r="BI106" s="75">
        <f>SIM_BASE!U75</f>
        <v>-2293.5772224242646</v>
      </c>
      <c r="BJ106" s="72">
        <f t="shared" si="111"/>
        <v>-1.9999999999568132E-3</v>
      </c>
      <c r="BK106" s="72">
        <f t="shared" si="112"/>
        <v>-2.0000000000172094E-3</v>
      </c>
      <c r="BL106" s="72">
        <f t="shared" si="113"/>
        <v>-2.0000000000034426E-3</v>
      </c>
      <c r="BM106" s="88">
        <f t="shared" si="131"/>
        <v>-5.9999999999774652E-3</v>
      </c>
      <c r="BN106" s="73">
        <f t="shared" si="114"/>
        <v>-2.0000000004074536E-3</v>
      </c>
      <c r="BO106" s="74">
        <f>SIM_BASE!AB75</f>
        <v>226794.20501699604</v>
      </c>
      <c r="BP106" s="74">
        <f>SIM_BASE!AC75</f>
        <v>112382.34460070342</v>
      </c>
      <c r="BQ106" s="74">
        <f>SIM_BASE!AD75</f>
        <v>93495.561426902335</v>
      </c>
      <c r="BR106" s="95">
        <f t="shared" si="132"/>
        <v>164873.20190129417</v>
      </c>
      <c r="BS106" s="75">
        <f>SIM_BASE!AE75</f>
        <v>9273.3393737002589</v>
      </c>
    </row>
    <row r="107" spans="1:71" x14ac:dyDescent="0.3">
      <c r="A107" s="353">
        <v>7</v>
      </c>
      <c r="B107" s="81">
        <v>2028</v>
      </c>
      <c r="C107" s="81" t="s">
        <v>6</v>
      </c>
      <c r="D107" s="74">
        <v>196.24388126999344</v>
      </c>
      <c r="E107" s="74">
        <v>180.01965657570295</v>
      </c>
      <c r="F107" s="74">
        <v>21.188278084761894</v>
      </c>
      <c r="G107" s="95">
        <v>397.45181593045834</v>
      </c>
      <c r="H107" s="75">
        <v>274.12919581097572</v>
      </c>
      <c r="I107" s="74">
        <v>224.8148186940582</v>
      </c>
      <c r="J107" s="74">
        <v>211.30839304841345</v>
      </c>
      <c r="K107" s="74">
        <v>21.879734584871819</v>
      </c>
      <c r="L107" s="95">
        <v>458.00294632734347</v>
      </c>
      <c r="M107" s="74">
        <v>38.126572876386199</v>
      </c>
      <c r="N107" s="74">
        <v>2664.2242452752521</v>
      </c>
      <c r="O107" s="98">
        <v>2702.3508181516381</v>
      </c>
      <c r="P107" s="72">
        <v>-28.569937424064911</v>
      </c>
      <c r="Q107" s="72">
        <v>-31.287736472710488</v>
      </c>
      <c r="R107" s="72">
        <v>-0.69045650010992554</v>
      </c>
      <c r="S107" s="88">
        <v>-60.54813039688532</v>
      </c>
      <c r="T107" s="73">
        <v>1E-3</v>
      </c>
      <c r="U107" s="72">
        <v>1E-3</v>
      </c>
      <c r="V107" s="72">
        <v>1E-3</v>
      </c>
      <c r="W107" s="72">
        <v>1E-3</v>
      </c>
      <c r="X107" s="88">
        <v>3.0000000000000001E-3</v>
      </c>
      <c r="Y107" s="75">
        <v>-2428.2206223406624</v>
      </c>
      <c r="Z107" s="72">
        <v>-1.9999999998555609E-3</v>
      </c>
      <c r="AA107" s="72">
        <v>-2.0000000000083276E-3</v>
      </c>
      <c r="AB107" s="72">
        <v>-2.0000000000000009E-3</v>
      </c>
      <c r="AC107" s="88">
        <v>-5.9999999998638894E-3</v>
      </c>
      <c r="AD107" s="73">
        <v>-2.0000000004074536E-3</v>
      </c>
      <c r="AE107" s="74">
        <v>179193.39805083265</v>
      </c>
      <c r="AF107" s="74">
        <v>94902.656023411342</v>
      </c>
      <c r="AG107" s="74">
        <v>88705.71129921668</v>
      </c>
      <c r="AH107" s="95">
        <v>135981.47556277949</v>
      </c>
      <c r="AI107" s="75">
        <v>9571.6243239164323</v>
      </c>
      <c r="AK107" s="353">
        <v>7</v>
      </c>
      <c r="AL107" s="81">
        <v>2028</v>
      </c>
      <c r="AM107" s="81" t="s">
        <v>6</v>
      </c>
      <c r="AN107" s="167">
        <f>SIM_BASE!E82</f>
        <v>150.34367344333202</v>
      </c>
      <c r="AO107" s="74">
        <f>SIM_BASE!F82</f>
        <v>180.09477921893597</v>
      </c>
      <c r="AP107" s="74">
        <f>SIM_BASE!G82</f>
        <v>20.948523460544649</v>
      </c>
      <c r="AQ107" s="95">
        <f t="shared" si="126"/>
        <v>351.38697612281265</v>
      </c>
      <c r="AR107" s="75">
        <f>SIM_BASE!H82</f>
        <v>279.13020114673509</v>
      </c>
      <c r="AS107" s="74">
        <f>SIM_BASE!K82</f>
        <v>160.92653685944441</v>
      </c>
      <c r="AT107" s="74">
        <f>SIM_BASE!L82</f>
        <v>190.40065516525129</v>
      </c>
      <c r="AU107" s="74">
        <f>SIM_BASE!M82</f>
        <v>22.400153254326195</v>
      </c>
      <c r="AV107" s="95">
        <f t="shared" si="127"/>
        <v>373.7273452790219</v>
      </c>
      <c r="AW107" s="74">
        <f>SIM_BASE!N82</f>
        <v>38.673110608917952</v>
      </c>
      <c r="AX107" s="74">
        <f>SIM_BASE!O82</f>
        <v>2624.3234326106776</v>
      </c>
      <c r="AY107" s="98">
        <f t="shared" si="128"/>
        <v>2662.9965432195954</v>
      </c>
      <c r="AZ107" s="72">
        <f>SIM_BASE!V82</f>
        <v>-10.581863416112425</v>
      </c>
      <c r="BA107" s="72">
        <f>SIM_BASE!W82</f>
        <v>-10.304875946315299</v>
      </c>
      <c r="BB107" s="72">
        <f>SIM_BASE!X82</f>
        <v>-1.450629793781544</v>
      </c>
      <c r="BC107" s="88">
        <f t="shared" si="129"/>
        <v>-22.33736915620927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0"/>
        <v>3.0000000000000001E-3</v>
      </c>
      <c r="BI107" s="75">
        <f>SIM_BASE!U82</f>
        <v>-2383.8653420728606</v>
      </c>
      <c r="BJ107" s="72">
        <f t="shared" si="111"/>
        <v>-1.9999999999639187E-3</v>
      </c>
      <c r="BK107" s="72">
        <f t="shared" si="112"/>
        <v>-2.0000000000260912E-3</v>
      </c>
      <c r="BL107" s="72">
        <f t="shared" si="113"/>
        <v>-2.0000000000018883E-3</v>
      </c>
      <c r="BM107" s="88">
        <f t="shared" si="131"/>
        <v>-5.9999999999918981E-3</v>
      </c>
      <c r="BN107" s="73">
        <f t="shared" si="114"/>
        <v>-1.9999999999527063E-3</v>
      </c>
      <c r="BO107" s="74">
        <f>SIM_BASE!AB82</f>
        <v>264245.43607749307</v>
      </c>
      <c r="BP107" s="74">
        <f>SIM_BASE!AC82</f>
        <v>111355.02429701836</v>
      </c>
      <c r="BQ107" s="74">
        <f>SIM_BASE!AD82</f>
        <v>90856.166575578041</v>
      </c>
      <c r="BR107" s="95">
        <f t="shared" si="132"/>
        <v>175960.80505496872</v>
      </c>
      <c r="BS107" s="75">
        <f>SIM_BASE!AE82</f>
        <v>9571.6336393954298</v>
      </c>
    </row>
    <row r="108" spans="1:71" x14ac:dyDescent="0.3">
      <c r="A108" s="503">
        <v>7</v>
      </c>
      <c r="B108" s="81">
        <v>2029</v>
      </c>
      <c r="C108" s="81" t="s">
        <v>6</v>
      </c>
      <c r="D108" s="74">
        <v>183.83688618589761</v>
      </c>
      <c r="E108" s="74">
        <v>197.12842801215828</v>
      </c>
      <c r="F108" s="74">
        <v>24.695540577080333</v>
      </c>
      <c r="G108" s="95">
        <v>405.66085477513627</v>
      </c>
      <c r="H108" s="75">
        <v>296.69217117343442</v>
      </c>
      <c r="I108" s="74">
        <v>209.89165738715974</v>
      </c>
      <c r="J108" s="74">
        <v>232.80047987051879</v>
      </c>
      <c r="K108" s="74">
        <v>23.919780527525276</v>
      </c>
      <c r="L108" s="95">
        <v>466.61191778520379</v>
      </c>
      <c r="M108" s="74">
        <v>39.422386957198093</v>
      </c>
      <c r="N108" s="74">
        <v>2792.021969441992</v>
      </c>
      <c r="O108" s="98">
        <v>2831.4443563991899</v>
      </c>
      <c r="P108" s="72">
        <v>-26.053771201262137</v>
      </c>
      <c r="Q108" s="72">
        <v>-35.671051858360507</v>
      </c>
      <c r="R108" s="72">
        <v>-0.25032342095860416</v>
      </c>
      <c r="S108" s="88">
        <v>-61.975146480581245</v>
      </c>
      <c r="T108" s="73">
        <v>1E-3</v>
      </c>
      <c r="U108" s="72">
        <v>1E-3</v>
      </c>
      <c r="V108" s="72">
        <v>1E-3</v>
      </c>
      <c r="W108" s="72">
        <v>1.028083470513663</v>
      </c>
      <c r="X108" s="88">
        <v>1.030083470513663</v>
      </c>
      <c r="Y108" s="75">
        <v>-2534.7511852257558</v>
      </c>
      <c r="Z108" s="72">
        <v>-1.999999999990564E-3</v>
      </c>
      <c r="AA108" s="72">
        <v>-1.9999999999976694E-3</v>
      </c>
      <c r="AB108" s="72">
        <v>-2.0000000000017781E-3</v>
      </c>
      <c r="AC108" s="88">
        <v>-5.9999999999900116E-3</v>
      </c>
      <c r="AD108" s="73">
        <v>-2.0000000004074536E-3</v>
      </c>
      <c r="AE108" s="74">
        <v>211538.70505988758</v>
      </c>
      <c r="AF108" s="74">
        <v>93693.91997154869</v>
      </c>
      <c r="AG108" s="74">
        <v>88670.450896311435</v>
      </c>
      <c r="AH108" s="95">
        <v>146445.41653788678</v>
      </c>
      <c r="AI108" s="75">
        <v>9880.8591450995664</v>
      </c>
      <c r="AK108" s="503">
        <v>7</v>
      </c>
      <c r="AL108" s="81">
        <v>2029</v>
      </c>
      <c r="AM108" s="81" t="s">
        <v>6</v>
      </c>
      <c r="AN108" s="167">
        <f>SIM_BASE!E89</f>
        <v>140.76845191379323</v>
      </c>
      <c r="AO108" s="74">
        <f>SIM_BASE!F89</f>
        <v>197.25850327596959</v>
      </c>
      <c r="AP108" s="74">
        <f>SIM_BASE!G89</f>
        <v>24.058603145693716</v>
      </c>
      <c r="AQ108" s="95">
        <f t="shared" si="126"/>
        <v>362.08555833545654</v>
      </c>
      <c r="AR108" s="75">
        <f>SIM_BASE!H89</f>
        <v>301.7629376688559</v>
      </c>
      <c r="AS108" s="74">
        <f>SIM_BASE!K89</f>
        <v>150.15825365244402</v>
      </c>
      <c r="AT108" s="74">
        <f>SIM_BASE!L89</f>
        <v>209.58134502309935</v>
      </c>
      <c r="AU108" s="74">
        <f>SIM_BASE!M89</f>
        <v>24.875004808380993</v>
      </c>
      <c r="AV108" s="95">
        <f t="shared" si="127"/>
        <v>384.61460348392433</v>
      </c>
      <c r="AW108" s="74">
        <f>SIM_BASE!N89</f>
        <v>40.038739785971096</v>
      </c>
      <c r="AX108" s="74">
        <f>SIM_BASE!O89</f>
        <v>2764.6099622690713</v>
      </c>
      <c r="AY108" s="98">
        <f t="shared" si="128"/>
        <v>2804.6487020550426</v>
      </c>
      <c r="AZ108" s="72">
        <f>SIM_BASE!V89</f>
        <v>-9.3888017386508587</v>
      </c>
      <c r="BA108" s="72">
        <f>SIM_BASE!W89</f>
        <v>-12.321841747129655</v>
      </c>
      <c r="BB108" s="72">
        <f>SIM_BASE!X89</f>
        <v>-0.81540166268727099</v>
      </c>
      <c r="BC108" s="88">
        <f t="shared" si="129"/>
        <v>-22.526045148467787</v>
      </c>
      <c r="BD108" s="73">
        <f>SIM_BASE!Y89</f>
        <v>1E-3</v>
      </c>
      <c r="BE108" s="72">
        <f>SIM_BASE!R89</f>
        <v>1E-3</v>
      </c>
      <c r="BF108" s="72">
        <f>SIM_BASE!S89</f>
        <v>1E-3</v>
      </c>
      <c r="BG108" s="72">
        <f>SIM_BASE!T89</f>
        <v>1E-3</v>
      </c>
      <c r="BH108" s="88">
        <f t="shared" si="130"/>
        <v>3.0000000000000001E-3</v>
      </c>
      <c r="BI108" s="75">
        <f>SIM_BASE!U89</f>
        <v>-2502.8847643861864</v>
      </c>
      <c r="BJ108" s="72">
        <f t="shared" si="111"/>
        <v>-1.9999999999301679E-3</v>
      </c>
      <c r="BK108" s="72">
        <f t="shared" si="112"/>
        <v>-2.0000000001024745E-3</v>
      </c>
      <c r="BL108" s="72">
        <f t="shared" si="113"/>
        <v>-2.000000000005552E-3</v>
      </c>
      <c r="BM108" s="88">
        <f t="shared" si="131"/>
        <v>-6.0000000000381944E-3</v>
      </c>
      <c r="BN108" s="73">
        <f t="shared" si="114"/>
        <v>-2.0000000004074536E-3</v>
      </c>
      <c r="BO108" s="74">
        <f>SIM_BASE!AB89</f>
        <v>311655.22955750878</v>
      </c>
      <c r="BP108" s="74">
        <f>SIM_BASE!AC89</f>
        <v>109778.92662308866</v>
      </c>
      <c r="BQ108" s="74">
        <f>SIM_BASE!AD89</f>
        <v>89078.599130200964</v>
      </c>
      <c r="BR108" s="95">
        <f t="shared" si="132"/>
        <v>187255.11209967351</v>
      </c>
      <c r="BS108" s="75">
        <f>SIM_BASE!AE89</f>
        <v>9880.868243031553</v>
      </c>
    </row>
    <row r="109" spans="1:71" ht="16.2" thickBot="1" x14ac:dyDescent="0.35">
      <c r="A109" s="387">
        <v>7</v>
      </c>
      <c r="B109" s="82">
        <v>2030</v>
      </c>
      <c r="C109" s="82" t="s">
        <v>6</v>
      </c>
      <c r="D109" s="78">
        <v>170.7198700805383</v>
      </c>
      <c r="E109" s="78">
        <v>216.96508283688675</v>
      </c>
      <c r="F109" s="78">
        <v>29.316233530292259</v>
      </c>
      <c r="G109" s="96">
        <v>417.00118644771732</v>
      </c>
      <c r="H109" s="79">
        <v>322.75149563341455</v>
      </c>
      <c r="I109" s="78">
        <v>194.00206476694893</v>
      </c>
      <c r="J109" s="78">
        <v>258.17352719384786</v>
      </c>
      <c r="K109" s="78">
        <v>26.092596230672672</v>
      </c>
      <c r="L109" s="96">
        <v>478.26818819146945</v>
      </c>
      <c r="M109" s="78">
        <v>40.817033922380595</v>
      </c>
      <c r="N109" s="78">
        <v>2952.7098234833265</v>
      </c>
      <c r="O109" s="99">
        <v>2993.5268574057072</v>
      </c>
      <c r="P109" s="76">
        <v>-23.281194686410615</v>
      </c>
      <c r="Q109" s="76">
        <v>-41.20744435696119</v>
      </c>
      <c r="R109" s="76">
        <v>-0.26609662710262666</v>
      </c>
      <c r="S109" s="89">
        <v>-64.754735670474432</v>
      </c>
      <c r="T109" s="77">
        <v>1E-3</v>
      </c>
      <c r="U109" s="76">
        <v>1E-3</v>
      </c>
      <c r="V109" s="76">
        <v>1E-3</v>
      </c>
      <c r="W109" s="76">
        <v>3.4917339267222154</v>
      </c>
      <c r="X109" s="89">
        <v>3.4937339267222152</v>
      </c>
      <c r="Y109" s="79">
        <v>-2670.7743617722927</v>
      </c>
      <c r="Z109" s="76">
        <v>-2.0000000000189857E-3</v>
      </c>
      <c r="AA109" s="76">
        <v>-1.9999999999195097E-3</v>
      </c>
      <c r="AB109" s="76">
        <v>-2.0000000000024443E-3</v>
      </c>
      <c r="AC109" s="89">
        <v>-5.9999999999409397E-3</v>
      </c>
      <c r="AD109" s="77">
        <v>-1.9999999999527063E-3</v>
      </c>
      <c r="AE109" s="78">
        <v>252378.32846939258</v>
      </c>
      <c r="AF109" s="78">
        <v>91944.709529241605</v>
      </c>
      <c r="AG109" s="78">
        <v>89045.414870502951</v>
      </c>
      <c r="AH109" s="96">
        <v>156863.94098585879</v>
      </c>
      <c r="AI109" s="79">
        <v>10201.44433875112</v>
      </c>
      <c r="AK109" s="387">
        <v>7</v>
      </c>
      <c r="AL109" s="82">
        <v>2030</v>
      </c>
      <c r="AM109" s="82" t="s">
        <v>6</v>
      </c>
      <c r="AN109" s="169">
        <f>SIM_BASE!E96</f>
        <v>130.71998832423935</v>
      </c>
      <c r="AO109" s="78">
        <f>SIM_BASE!F96</f>
        <v>217.20288982883406</v>
      </c>
      <c r="AP109" s="78">
        <f>SIM_BASE!G96</f>
        <v>28.457004562726581</v>
      </c>
      <c r="AQ109" s="96">
        <f>SUM(AN109:AP109)</f>
        <v>376.37988271579997</v>
      </c>
      <c r="AR109" s="79">
        <f>SIM_BASE!H96</f>
        <v>328.23743183480804</v>
      </c>
      <c r="AS109" s="78">
        <f>SIM_BASE!K96</f>
        <v>138.67679110552766</v>
      </c>
      <c r="AT109" s="78">
        <f>SIM_BASE!L96</f>
        <v>232.23911195598185</v>
      </c>
      <c r="AU109" s="78">
        <f>SIM_BASE!M96</f>
        <v>27.239841200040551</v>
      </c>
      <c r="AV109" s="96">
        <f t="shared" ref="AV109" si="144">SUM(AS109:AU109)</f>
        <v>398.15574426155007</v>
      </c>
      <c r="AW109" s="78">
        <f>SIM_BASE!N96</f>
        <v>41.557711462606235</v>
      </c>
      <c r="AX109" s="78">
        <f>SIM_BASE!O96</f>
        <v>2953.760111278867</v>
      </c>
      <c r="AY109" s="99">
        <f t="shared" ref="AY109" si="145">SUM(AW109:AX109)</f>
        <v>2995.3178227414733</v>
      </c>
      <c r="AZ109" s="76">
        <f>SIM_BASE!V96</f>
        <v>-7.9558027812882859</v>
      </c>
      <c r="BA109" s="76">
        <f>SIM_BASE!W96</f>
        <v>-15.035222127147795</v>
      </c>
      <c r="BB109" s="76">
        <f>SIM_BASE!X96</f>
        <v>-0.32966103235772576</v>
      </c>
      <c r="BC109" s="89">
        <f t="shared" ref="BC109" si="146">SUM(AZ109:BB109)</f>
        <v>-23.320685940793808</v>
      </c>
      <c r="BD109" s="77">
        <f>SIM_BASE!Y96</f>
        <v>1E-3</v>
      </c>
      <c r="BE109" s="76">
        <f>SIM_BASE!R96</f>
        <v>1E-3</v>
      </c>
      <c r="BF109" s="76">
        <f>SIM_BASE!S96</f>
        <v>1E-3</v>
      </c>
      <c r="BG109" s="76">
        <f>SIM_BASE!T96</f>
        <v>1.5488243950437499</v>
      </c>
      <c r="BH109" s="89">
        <f t="shared" ref="BH109" si="147">SUM(BE109:BG109)</f>
        <v>1.5508243950437499</v>
      </c>
      <c r="BI109" s="79">
        <f>SIM_BASE!U96</f>
        <v>-2667.0793909066647</v>
      </c>
      <c r="BJ109" s="76">
        <f t="shared" ref="BJ109" si="148">AN109-AS109-AZ109-BE109</f>
        <v>-2.0000000000172094E-3</v>
      </c>
      <c r="BK109" s="76">
        <f t="shared" ref="BK109" si="149">AO109-AT109-BA109-BF109</f>
        <v>-1.9999999999994458E-3</v>
      </c>
      <c r="BL109" s="76">
        <f t="shared" ref="BL109" si="150">AP109-AU109-BB109-BG109</f>
        <v>-1.9999999999942286E-3</v>
      </c>
      <c r="BM109" s="89">
        <f t="shared" ref="BM109" si="151">SUM(BJ109:BL109)</f>
        <v>-6.0000000000108838E-3</v>
      </c>
      <c r="BN109" s="77">
        <f t="shared" ref="BN109" si="152">AR109-AW109-AX109-BD109-BI109</f>
        <v>-2.000000000862201E-3</v>
      </c>
      <c r="BO109" s="78">
        <f>SIM_BASE!AB96</f>
        <v>372199.2070329347</v>
      </c>
      <c r="BP109" s="78">
        <f>SIM_BASE!AC96</f>
        <v>107763.67008227426</v>
      </c>
      <c r="BQ109" s="78">
        <f>SIM_BASE!AD96</f>
        <v>89045.561303972965</v>
      </c>
      <c r="BR109" s="96">
        <f t="shared" ref="BR109" si="153">SUMPRODUCT(BO109:BQ109,AS109:AU109)/AV109</f>
        <v>198585.39984273788</v>
      </c>
      <c r="BS109" s="79">
        <f>SIM_BASE!AE96</f>
        <v>10201.45355782074</v>
      </c>
    </row>
    <row r="110" spans="1:71" x14ac:dyDescent="0.3">
      <c r="A110" s="83"/>
      <c r="B110" s="84"/>
      <c r="C110" s="84"/>
      <c r="D110" s="84"/>
      <c r="AH110" s="237"/>
      <c r="AI110" s="375"/>
      <c r="AK110" s="83"/>
      <c r="AL110" s="84"/>
      <c r="AM110" s="84"/>
      <c r="AN110" s="84"/>
      <c r="BR110" s="237"/>
    </row>
    <row r="111" spans="1:71" x14ac:dyDescent="0.3">
      <c r="A111" s="83"/>
      <c r="B111" s="84"/>
      <c r="C111" s="84"/>
      <c r="D111" s="84"/>
      <c r="AK111" s="83"/>
      <c r="AL111" s="84"/>
      <c r="AM111" s="84"/>
      <c r="AN111" s="84"/>
    </row>
    <row r="112" spans="1:71" x14ac:dyDescent="0.3">
      <c r="A112" s="83"/>
      <c r="B112" s="84"/>
      <c r="C112" s="84"/>
      <c r="D112" s="548">
        <f>SUM(D19:AI109)-SUM(AN19:BS109)</f>
        <v>-9321413.8161989003</v>
      </c>
      <c r="AK112" s="83"/>
      <c r="AL112" s="84"/>
      <c r="AM112" s="84"/>
      <c r="AN112" s="84"/>
    </row>
  </sheetData>
  <sortState ref="AK7:BS90">
    <sortCondition ref="AK7:AK90"/>
    <sortCondition ref="AL7:AL90"/>
  </sortState>
  <mergeCells count="16">
    <mergeCell ref="U3:Y3"/>
    <mergeCell ref="Z3:AD3"/>
    <mergeCell ref="AE3:AI3"/>
    <mergeCell ref="B3:B5"/>
    <mergeCell ref="C3:C5"/>
    <mergeCell ref="D3:H3"/>
    <mergeCell ref="I3:O3"/>
    <mergeCell ref="P3:T3"/>
    <mergeCell ref="BJ3:BN3"/>
    <mergeCell ref="BO3:BS3"/>
    <mergeCell ref="BE3:BI3"/>
    <mergeCell ref="AL3:AL5"/>
    <mergeCell ref="AM3:AM5"/>
    <mergeCell ref="AN3:AR3"/>
    <mergeCell ref="AS3:AY3"/>
    <mergeCell ref="A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2020-03-18T07:37:13Z</dcterms:modified>
</cp:coreProperties>
</file>