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luv3trang/Desktop/MSBA/SPRING 2024/Financial Analytics/Project/"/>
    </mc:Choice>
  </mc:AlternateContent>
  <xr:revisionPtr revIDLastSave="0" documentId="13_ncr:1_{FC7EDB54-F19D-934B-8774-22FC769CF67A}" xr6:coauthVersionLast="47" xr6:coauthVersionMax="47" xr10:uidLastSave="{00000000-0000-0000-0000-000000000000}"/>
  <bookViews>
    <workbookView xWindow="0" yWindow="0" windowWidth="28800" windowHeight="18000" firstSheet="3" activeTab="9" xr2:uid="{00000000-000D-0000-FFFF-FFFF00000000}"/>
  </bookViews>
  <sheets>
    <sheet name="IS" sheetId="1" r:id="rId1"/>
    <sheet name="CS_IS" sheetId="4" r:id="rId2"/>
    <sheet name="Projected IS" sheetId="32" r:id="rId3"/>
    <sheet name="BS" sheetId="2" r:id="rId4"/>
    <sheet name="CS_BS" sheetId="5" r:id="rId5"/>
    <sheet name="CF" sheetId="30" r:id="rId6"/>
    <sheet name="Ratio" sheetId="26" r:id="rId7"/>
    <sheet name="regression result" sheetId="36" r:id="rId8"/>
    <sheet name="beta" sheetId="34" r:id="rId9"/>
    <sheet name="DCF" sheetId="33" r:id="rId10"/>
    <sheet name="Relative Valuation" sheetId="38" r:id="rId11"/>
    <sheet name="Projected Sales Segment" sheetId="37" r:id="rId12"/>
    <sheet name="Company_Income statement" sheetId="39" r:id="rId13"/>
  </sheets>
  <externalReferences>
    <externalReference r:id="rId14"/>
  </externalReferences>
  <definedNames>
    <definedName name="_xlnm._FilterDatabase" localSheetId="8" hidden="1">beta!$A$1:$H$133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8" l="1"/>
  <c r="C6" i="38"/>
  <c r="C5" i="38" s="1"/>
  <c r="F7" i="38" l="1"/>
  <c r="F11" i="38"/>
  <c r="F10" i="38"/>
  <c r="F9" i="38"/>
  <c r="F8" i="38"/>
  <c r="F6" i="38"/>
  <c r="F5" i="38" s="1"/>
  <c r="E11" i="38"/>
  <c r="E10" i="38"/>
  <c r="E9" i="38"/>
  <c r="E8" i="38"/>
  <c r="E7" i="38"/>
  <c r="E6" i="38"/>
  <c r="D11" i="38"/>
  <c r="D10" i="38"/>
  <c r="D9" i="38"/>
  <c r="D8" i="38"/>
  <c r="D7" i="38"/>
  <c r="D6" i="38"/>
  <c r="D5" i="38" s="1"/>
  <c r="D260" i="39"/>
  <c r="E260" i="39" s="1"/>
  <c r="F260" i="39" s="1"/>
  <c r="G260" i="39" s="1"/>
  <c r="H260" i="39" s="1"/>
  <c r="I260" i="39" s="1"/>
  <c r="J260" i="39" s="1"/>
  <c r="K260" i="39" s="1"/>
  <c r="D205" i="39"/>
  <c r="E205" i="39" s="1"/>
  <c r="F205" i="39" s="1"/>
  <c r="G205" i="39" s="1"/>
  <c r="H205" i="39" s="1"/>
  <c r="I205" i="39" s="1"/>
  <c r="J205" i="39" s="1"/>
  <c r="K205" i="39" s="1"/>
  <c r="D152" i="39"/>
  <c r="E152" i="39" s="1"/>
  <c r="F152" i="39" s="1"/>
  <c r="G152" i="39" s="1"/>
  <c r="H152" i="39" s="1"/>
  <c r="I152" i="39" s="1"/>
  <c r="J152" i="39" s="1"/>
  <c r="K152" i="39" s="1"/>
  <c r="E132" i="39"/>
  <c r="D132" i="39"/>
  <c r="G131" i="39"/>
  <c r="F131" i="39"/>
  <c r="H130" i="39"/>
  <c r="K127" i="39"/>
  <c r="J127" i="39"/>
  <c r="C127" i="39"/>
  <c r="B127" i="39"/>
  <c r="H125" i="39"/>
  <c r="H126" i="39" s="1"/>
  <c r="G125" i="39"/>
  <c r="G126" i="39" s="1"/>
  <c r="F125" i="39"/>
  <c r="F126" i="39" s="1"/>
  <c r="K123" i="39"/>
  <c r="K124" i="39" s="1"/>
  <c r="J123" i="39"/>
  <c r="J124" i="39" s="1"/>
  <c r="D123" i="39"/>
  <c r="D124" i="39" s="1"/>
  <c r="C123" i="39"/>
  <c r="C124" i="39" s="1"/>
  <c r="B123" i="39"/>
  <c r="B124" i="39" s="1"/>
  <c r="K119" i="39"/>
  <c r="J119" i="39"/>
  <c r="I119" i="39"/>
  <c r="H119" i="39"/>
  <c r="G119" i="39"/>
  <c r="F119" i="39"/>
  <c r="E119" i="39"/>
  <c r="D119" i="39"/>
  <c r="C119" i="39"/>
  <c r="B119" i="39"/>
  <c r="K118" i="39"/>
  <c r="J118" i="39"/>
  <c r="I118" i="39"/>
  <c r="H118" i="39"/>
  <c r="G118" i="39"/>
  <c r="F118" i="39"/>
  <c r="E118" i="39"/>
  <c r="D118" i="39"/>
  <c r="K117" i="39"/>
  <c r="L117" i="39" s="1"/>
  <c r="J117" i="39"/>
  <c r="I117" i="39"/>
  <c r="H117" i="39"/>
  <c r="G117" i="39"/>
  <c r="F117" i="39"/>
  <c r="E117" i="39"/>
  <c r="D117" i="39"/>
  <c r="C117" i="39"/>
  <c r="B117" i="39"/>
  <c r="K116" i="39"/>
  <c r="J116" i="39"/>
  <c r="I116" i="39"/>
  <c r="H116" i="39"/>
  <c r="G116" i="39"/>
  <c r="F116" i="39"/>
  <c r="E116" i="39"/>
  <c r="D116" i="39"/>
  <c r="C116" i="39"/>
  <c r="B116" i="39"/>
  <c r="K115" i="39"/>
  <c r="J115" i="39"/>
  <c r="I115" i="39"/>
  <c r="H115" i="39"/>
  <c r="G115" i="39"/>
  <c r="F115" i="39"/>
  <c r="E115" i="39"/>
  <c r="D115" i="39"/>
  <c r="C115" i="39"/>
  <c r="B115" i="39"/>
  <c r="K114" i="39"/>
  <c r="J114" i="39"/>
  <c r="I114" i="39"/>
  <c r="H114" i="39"/>
  <c r="G114" i="39"/>
  <c r="F114" i="39"/>
  <c r="E114" i="39"/>
  <c r="D114" i="39"/>
  <c r="C114" i="39"/>
  <c r="B114" i="39"/>
  <c r="K113" i="39"/>
  <c r="J113" i="39"/>
  <c r="I113" i="39"/>
  <c r="H113" i="39"/>
  <c r="G113" i="39"/>
  <c r="F113" i="39"/>
  <c r="E113" i="39"/>
  <c r="D113" i="39"/>
  <c r="C113" i="39"/>
  <c r="B113" i="39"/>
  <c r="K112" i="39"/>
  <c r="J112" i="39"/>
  <c r="I112" i="39"/>
  <c r="H112" i="39"/>
  <c r="G112" i="39"/>
  <c r="F112" i="39"/>
  <c r="E112" i="39"/>
  <c r="D112" i="39"/>
  <c r="C112" i="39"/>
  <c r="B112" i="39"/>
  <c r="K111" i="39"/>
  <c r="J111" i="39"/>
  <c r="I111" i="39"/>
  <c r="H111" i="39"/>
  <c r="G111" i="39"/>
  <c r="F111" i="39"/>
  <c r="E111" i="39"/>
  <c r="D111" i="39"/>
  <c r="C111" i="39"/>
  <c r="B111" i="39"/>
  <c r="K110" i="39"/>
  <c r="J110" i="39"/>
  <c r="I110" i="39"/>
  <c r="H110" i="39"/>
  <c r="G110" i="39"/>
  <c r="F110" i="39"/>
  <c r="E110" i="39"/>
  <c r="D110" i="39"/>
  <c r="C110" i="39"/>
  <c r="B110" i="39"/>
  <c r="K109" i="39"/>
  <c r="J109" i="39"/>
  <c r="I109" i="39"/>
  <c r="H109" i="39"/>
  <c r="G109" i="39"/>
  <c r="F109" i="39"/>
  <c r="E109" i="39"/>
  <c r="D109" i="39"/>
  <c r="C109" i="39"/>
  <c r="B109" i="39"/>
  <c r="K107" i="39"/>
  <c r="K130" i="39" s="1"/>
  <c r="J107" i="39"/>
  <c r="J130" i="39" s="1"/>
  <c r="I107" i="39"/>
  <c r="I130" i="39" s="1"/>
  <c r="H107" i="39"/>
  <c r="G107" i="39"/>
  <c r="G130" i="39" s="1"/>
  <c r="F107" i="39"/>
  <c r="F130" i="39" s="1"/>
  <c r="E107" i="39"/>
  <c r="E130" i="39" s="1"/>
  <c r="D107" i="39"/>
  <c r="D130" i="39" s="1"/>
  <c r="C107" i="39"/>
  <c r="C130" i="39" s="1"/>
  <c r="B107" i="39"/>
  <c r="B130" i="39" s="1"/>
  <c r="K106" i="39"/>
  <c r="J106" i="39"/>
  <c r="I106" i="39"/>
  <c r="H106" i="39"/>
  <c r="G106" i="39"/>
  <c r="F106" i="39"/>
  <c r="E106" i="39"/>
  <c r="D106" i="39"/>
  <c r="C106" i="39"/>
  <c r="B106" i="39"/>
  <c r="K105" i="39"/>
  <c r="J105" i="39"/>
  <c r="I105" i="39"/>
  <c r="H105" i="39"/>
  <c r="G105" i="39"/>
  <c r="F105" i="39"/>
  <c r="E105" i="39"/>
  <c r="D105" i="39"/>
  <c r="C105" i="39"/>
  <c r="B105" i="39"/>
  <c r="K104" i="39"/>
  <c r="J104" i="39"/>
  <c r="I104" i="39"/>
  <c r="H104" i="39"/>
  <c r="G104" i="39"/>
  <c r="F104" i="39"/>
  <c r="E104" i="39"/>
  <c r="D104" i="39"/>
  <c r="C104" i="39"/>
  <c r="B104" i="39"/>
  <c r="K103" i="39"/>
  <c r="J103" i="39"/>
  <c r="I103" i="39"/>
  <c r="H103" i="39"/>
  <c r="G103" i="39"/>
  <c r="F103" i="39"/>
  <c r="E103" i="39"/>
  <c r="D103" i="39"/>
  <c r="C103" i="39"/>
  <c r="B103" i="39"/>
  <c r="K102" i="39"/>
  <c r="J102" i="39"/>
  <c r="I102" i="39"/>
  <c r="H102" i="39"/>
  <c r="G102" i="39"/>
  <c r="F102" i="39"/>
  <c r="E102" i="39"/>
  <c r="D102" i="39"/>
  <c r="C102" i="39"/>
  <c r="B102" i="39"/>
  <c r="K101" i="39"/>
  <c r="J101" i="39"/>
  <c r="I101" i="39"/>
  <c r="H101" i="39"/>
  <c r="G101" i="39"/>
  <c r="F101" i="39"/>
  <c r="E101" i="39"/>
  <c r="D101" i="39"/>
  <c r="C101" i="39"/>
  <c r="B101" i="39"/>
  <c r="K100" i="39"/>
  <c r="J100" i="39"/>
  <c r="I100" i="39"/>
  <c r="H100" i="39"/>
  <c r="G100" i="39"/>
  <c r="F100" i="39"/>
  <c r="E100" i="39"/>
  <c r="D100" i="39"/>
  <c r="C100" i="39"/>
  <c r="B100" i="39"/>
  <c r="K99" i="39"/>
  <c r="J99" i="39"/>
  <c r="I99" i="39"/>
  <c r="H99" i="39"/>
  <c r="G99" i="39"/>
  <c r="F99" i="39"/>
  <c r="E99" i="39"/>
  <c r="D99" i="39"/>
  <c r="C99" i="39"/>
  <c r="B99" i="39"/>
  <c r="K98" i="39"/>
  <c r="J98" i="39"/>
  <c r="I98" i="39"/>
  <c r="H98" i="39"/>
  <c r="G98" i="39"/>
  <c r="F98" i="39"/>
  <c r="E98" i="39"/>
  <c r="D98" i="39"/>
  <c r="C98" i="39"/>
  <c r="B98" i="39"/>
  <c r="K97" i="39"/>
  <c r="J97" i="39"/>
  <c r="I97" i="39"/>
  <c r="H97" i="39"/>
  <c r="G97" i="39"/>
  <c r="F97" i="39"/>
  <c r="E97" i="39"/>
  <c r="D97" i="39"/>
  <c r="C97" i="39"/>
  <c r="B97" i="39"/>
  <c r="K96" i="39"/>
  <c r="J96" i="39"/>
  <c r="I96" i="39"/>
  <c r="H96" i="39"/>
  <c r="G96" i="39"/>
  <c r="F96" i="39"/>
  <c r="E96" i="39"/>
  <c r="D96" i="39"/>
  <c r="K95" i="39"/>
  <c r="J95" i="39"/>
  <c r="I95" i="39"/>
  <c r="H95" i="39"/>
  <c r="G95" i="39"/>
  <c r="F95" i="39"/>
  <c r="E95" i="39"/>
  <c r="D95" i="39"/>
  <c r="C95" i="39"/>
  <c r="B95" i="39"/>
  <c r="K94" i="39"/>
  <c r="J94" i="39"/>
  <c r="I94" i="39"/>
  <c r="H94" i="39"/>
  <c r="G94" i="39"/>
  <c r="F94" i="39"/>
  <c r="E94" i="39"/>
  <c r="D94" i="39"/>
  <c r="C94" i="39"/>
  <c r="B94" i="39"/>
  <c r="K93" i="39"/>
  <c r="J93" i="39"/>
  <c r="I93" i="39"/>
  <c r="H93" i="39"/>
  <c r="G93" i="39"/>
  <c r="F93" i="39"/>
  <c r="E93" i="39"/>
  <c r="D93" i="39"/>
  <c r="C93" i="39"/>
  <c r="B93" i="39"/>
  <c r="K92" i="39"/>
  <c r="J92" i="39"/>
  <c r="I92" i="39"/>
  <c r="I123" i="39" s="1"/>
  <c r="I124" i="39" s="1"/>
  <c r="H92" i="39"/>
  <c r="H123" i="39" s="1"/>
  <c r="H124" i="39" s="1"/>
  <c r="G92" i="39"/>
  <c r="G123" i="39" s="1"/>
  <c r="G124" i="39" s="1"/>
  <c r="F92" i="39"/>
  <c r="F123" i="39" s="1"/>
  <c r="F124" i="39" s="1"/>
  <c r="E92" i="39"/>
  <c r="E123" i="39" s="1"/>
  <c r="E124" i="39" s="1"/>
  <c r="D92" i="39"/>
  <c r="C92" i="39"/>
  <c r="B92" i="39"/>
  <c r="K91" i="39"/>
  <c r="K85" i="39" s="1"/>
  <c r="J91" i="39"/>
  <c r="J85" i="39" s="1"/>
  <c r="I91" i="39"/>
  <c r="I85" i="39" s="1"/>
  <c r="H91" i="39"/>
  <c r="H85" i="39" s="1"/>
  <c r="G91" i="39"/>
  <c r="G85" i="39" s="1"/>
  <c r="F91" i="39"/>
  <c r="E91" i="39"/>
  <c r="D91" i="39"/>
  <c r="C91" i="39"/>
  <c r="C85" i="39" s="1"/>
  <c r="B91" i="39"/>
  <c r="K90" i="39"/>
  <c r="K125" i="39" s="1"/>
  <c r="K126" i="39" s="1"/>
  <c r="J90" i="39"/>
  <c r="J125" i="39" s="1"/>
  <c r="J126" i="39" s="1"/>
  <c r="I90" i="39"/>
  <c r="I125" i="39" s="1"/>
  <c r="I126" i="39" s="1"/>
  <c r="H90" i="39"/>
  <c r="G90" i="39"/>
  <c r="F90" i="39"/>
  <c r="E90" i="39"/>
  <c r="E125" i="39" s="1"/>
  <c r="E126" i="39" s="1"/>
  <c r="D90" i="39"/>
  <c r="D125" i="39" s="1"/>
  <c r="D126" i="39" s="1"/>
  <c r="C90" i="39"/>
  <c r="C125" i="39" s="1"/>
  <c r="C126" i="39" s="1"/>
  <c r="B90" i="39"/>
  <c r="B125" i="39" s="1"/>
  <c r="B126" i="39" s="1"/>
  <c r="D86" i="39"/>
  <c r="E86" i="39" s="1"/>
  <c r="F86" i="39" s="1"/>
  <c r="G86" i="39" s="1"/>
  <c r="H86" i="39" s="1"/>
  <c r="I86" i="39" s="1"/>
  <c r="J86" i="39" s="1"/>
  <c r="K86" i="39" s="1"/>
  <c r="F85" i="39"/>
  <c r="E85" i="39"/>
  <c r="D85" i="39"/>
  <c r="K84" i="39"/>
  <c r="J84" i="39"/>
  <c r="I84" i="39"/>
  <c r="H84" i="39"/>
  <c r="G84" i="39"/>
  <c r="F84" i="39"/>
  <c r="E84" i="39"/>
  <c r="D84" i="39"/>
  <c r="C84" i="39"/>
  <c r="K83" i="39"/>
  <c r="J83" i="39"/>
  <c r="I83" i="39"/>
  <c r="H83" i="39"/>
  <c r="G83" i="39"/>
  <c r="F83" i="39"/>
  <c r="E83" i="39"/>
  <c r="D83" i="39"/>
  <c r="C83" i="39"/>
  <c r="K82" i="39"/>
  <c r="J82" i="39"/>
  <c r="I82" i="39"/>
  <c r="H82" i="39"/>
  <c r="G82" i="39"/>
  <c r="F82" i="39"/>
  <c r="E82" i="39"/>
  <c r="D82" i="39"/>
  <c r="C82" i="39"/>
  <c r="K60" i="39"/>
  <c r="K132" i="39" s="1"/>
  <c r="J60" i="39"/>
  <c r="J132" i="39" s="1"/>
  <c r="I60" i="39"/>
  <c r="I132" i="39" s="1"/>
  <c r="H60" i="39"/>
  <c r="H132" i="39" s="1"/>
  <c r="G60" i="39"/>
  <c r="G132" i="39" s="1"/>
  <c r="F60" i="39"/>
  <c r="F132" i="39" s="1"/>
  <c r="E60" i="39"/>
  <c r="D60" i="39"/>
  <c r="C60" i="39"/>
  <c r="C132" i="39" s="1"/>
  <c r="B60" i="39"/>
  <c r="B132" i="39" s="1"/>
  <c r="K59" i="39"/>
  <c r="K131" i="39" s="1"/>
  <c r="J59" i="39"/>
  <c r="J131" i="39" s="1"/>
  <c r="I59" i="39"/>
  <c r="I131" i="39" s="1"/>
  <c r="H59" i="39"/>
  <c r="H131" i="39" s="1"/>
  <c r="G59" i="39"/>
  <c r="F59" i="39"/>
  <c r="E59" i="39"/>
  <c r="E131" i="39" s="1"/>
  <c r="D59" i="39"/>
  <c r="D131" i="39" s="1"/>
  <c r="C59" i="39"/>
  <c r="C131" i="39" s="1"/>
  <c r="B59" i="39"/>
  <c r="B131" i="39" s="1"/>
  <c r="K58" i="39"/>
  <c r="J58" i="39"/>
  <c r="I58" i="39"/>
  <c r="H58" i="39"/>
  <c r="G58" i="39"/>
  <c r="F58" i="39"/>
  <c r="E58" i="39"/>
  <c r="D58" i="39"/>
  <c r="C58" i="39"/>
  <c r="B58" i="39"/>
  <c r="K55" i="39"/>
  <c r="J55" i="39"/>
  <c r="I55" i="39"/>
  <c r="I127" i="39" s="1"/>
  <c r="H55" i="39"/>
  <c r="H127" i="39" s="1"/>
  <c r="G55" i="39"/>
  <c r="G127" i="39" s="1"/>
  <c r="F55" i="39"/>
  <c r="F127" i="39" s="1"/>
  <c r="E55" i="39"/>
  <c r="E127" i="39" s="1"/>
  <c r="D55" i="39"/>
  <c r="D127" i="39" s="1"/>
  <c r="C55" i="39"/>
  <c r="B55" i="39"/>
  <c r="I54" i="39"/>
  <c r="H54" i="39"/>
  <c r="F54" i="39"/>
  <c r="E54" i="39"/>
  <c r="K53" i="39"/>
  <c r="K54" i="39" s="1"/>
  <c r="J53" i="39"/>
  <c r="J54" i="39" s="1"/>
  <c r="I53" i="39"/>
  <c r="H53" i="39"/>
  <c r="G53" i="39"/>
  <c r="G54" i="39" s="1"/>
  <c r="F53" i="39"/>
  <c r="E53" i="39"/>
  <c r="D53" i="39"/>
  <c r="D54" i="39" s="1"/>
  <c r="C53" i="39"/>
  <c r="C54" i="39" s="1"/>
  <c r="B53" i="39"/>
  <c r="B54" i="39" s="1"/>
  <c r="J52" i="39"/>
  <c r="I52" i="39"/>
  <c r="E52" i="39"/>
  <c r="D52" i="39"/>
  <c r="B52" i="39"/>
  <c r="K51" i="39"/>
  <c r="K52" i="39" s="1"/>
  <c r="J51" i="39"/>
  <c r="I51" i="39"/>
  <c r="H51" i="39"/>
  <c r="H52" i="39" s="1"/>
  <c r="G51" i="39"/>
  <c r="G52" i="39" s="1"/>
  <c r="F51" i="39"/>
  <c r="F52" i="39" s="1"/>
  <c r="E51" i="39"/>
  <c r="D51" i="39"/>
  <c r="C51" i="39"/>
  <c r="C52" i="39" s="1"/>
  <c r="B51" i="39"/>
  <c r="E14" i="39"/>
  <c r="F14" i="39" s="1"/>
  <c r="G14" i="39" s="1"/>
  <c r="H14" i="39" s="1"/>
  <c r="I14" i="39" s="1"/>
  <c r="J14" i="39" s="1"/>
  <c r="K14" i="39" s="1"/>
  <c r="D14" i="39"/>
  <c r="K13" i="39"/>
  <c r="J13" i="39"/>
  <c r="I13" i="39"/>
  <c r="H13" i="39"/>
  <c r="G13" i="39"/>
  <c r="F13" i="39"/>
  <c r="E13" i="39"/>
  <c r="D13" i="39"/>
  <c r="C13" i="39"/>
  <c r="L13" i="39" s="1"/>
  <c r="F13" i="38" l="1"/>
  <c r="E5" i="38"/>
  <c r="E13" i="38" s="1"/>
  <c r="D12" i="38"/>
  <c r="F12" i="38"/>
  <c r="E12" i="38"/>
  <c r="E14" i="38"/>
  <c r="D15" i="38"/>
  <c r="C13" i="38"/>
  <c r="F14" i="38"/>
  <c r="F15" i="38"/>
  <c r="E15" i="38"/>
  <c r="D14" i="38"/>
  <c r="D13" i="38"/>
  <c r="C14" i="38"/>
  <c r="C12" i="38"/>
  <c r="L85" i="39"/>
  <c r="C15" i="38"/>
  <c r="G15" i="38" l="1"/>
  <c r="G13" i="38"/>
  <c r="C19" i="38" s="1"/>
  <c r="D19" i="38" s="1"/>
  <c r="G14" i="38"/>
  <c r="C20" i="38" s="1"/>
  <c r="D20" i="38" s="1"/>
  <c r="G12" i="38"/>
  <c r="C18" i="38" s="1"/>
  <c r="D18" i="38" s="1"/>
  <c r="C21" i="38"/>
  <c r="D21" i="38" s="1"/>
  <c r="D22" i="38" l="1"/>
  <c r="Z13" i="33" l="1"/>
  <c r="Y13" i="33"/>
  <c r="Y14" i="33"/>
  <c r="D112" i="33"/>
  <c r="E112" i="33" s="1"/>
  <c r="F112" i="33" s="1"/>
  <c r="G112" i="33" s="1"/>
  <c r="H112" i="33" s="1"/>
  <c r="I112" i="33" s="1"/>
  <c r="J112" i="33" s="1"/>
  <c r="K112" i="33" s="1"/>
  <c r="L112" i="33" s="1"/>
  <c r="M112" i="33" s="1"/>
  <c r="N4" i="37"/>
  <c r="O4" i="37"/>
  <c r="P4" i="37"/>
  <c r="Q4" i="37" s="1"/>
  <c r="R4" i="37" s="1"/>
  <c r="S4" i="37" s="1"/>
  <c r="T4" i="37" s="1"/>
  <c r="U4" i="37" s="1"/>
  <c r="V4" i="37" s="1"/>
  <c r="M4" i="37"/>
  <c r="N3" i="37"/>
  <c r="O3" i="37" s="1"/>
  <c r="P3" i="37" s="1"/>
  <c r="Q3" i="37" s="1"/>
  <c r="R3" i="37" s="1"/>
  <c r="S3" i="37" s="1"/>
  <c r="T3" i="37" s="1"/>
  <c r="U3" i="37" s="1"/>
  <c r="V3" i="37" s="1"/>
  <c r="M3" i="37"/>
  <c r="N2" i="37"/>
  <c r="O2" i="37"/>
  <c r="P2" i="37" s="1"/>
  <c r="Q2" i="37" s="1"/>
  <c r="R2" i="37" s="1"/>
  <c r="S2" i="37" s="1"/>
  <c r="T2" i="37" s="1"/>
  <c r="U2" i="37" s="1"/>
  <c r="V2" i="37" s="1"/>
  <c r="M2" i="37"/>
  <c r="U1" i="37"/>
  <c r="V1" i="37"/>
  <c r="N1" i="37"/>
  <c r="O1" i="37"/>
  <c r="P1" i="37"/>
  <c r="Q1" i="37"/>
  <c r="R1" i="37"/>
  <c r="S1" i="37"/>
  <c r="T1" i="37"/>
  <c r="M1" i="37"/>
  <c r="B13" i="37"/>
  <c r="B14" i="37"/>
  <c r="B12" i="37"/>
  <c r="D14" i="37"/>
  <c r="E14" i="37"/>
  <c r="F14" i="37"/>
  <c r="G14" i="37"/>
  <c r="H14" i="37"/>
  <c r="I14" i="37"/>
  <c r="J14" i="37"/>
  <c r="K14" i="37"/>
  <c r="D13" i="37"/>
  <c r="E13" i="37"/>
  <c r="F13" i="37"/>
  <c r="G13" i="37"/>
  <c r="H13" i="37"/>
  <c r="I13" i="37"/>
  <c r="J13" i="37"/>
  <c r="K13" i="37"/>
  <c r="C13" i="37"/>
  <c r="C14" i="37"/>
  <c r="K12" i="37"/>
  <c r="D12" i="37"/>
  <c r="E12" i="37"/>
  <c r="F12" i="37"/>
  <c r="G12" i="37"/>
  <c r="H12" i="37"/>
  <c r="I12" i="37"/>
  <c r="J12" i="37"/>
  <c r="C12" i="37"/>
  <c r="D11" i="37"/>
  <c r="E11" i="37" s="1"/>
  <c r="F11" i="37" s="1"/>
  <c r="G11" i="37" s="1"/>
  <c r="H11" i="37" s="1"/>
  <c r="I11" i="37" s="1"/>
  <c r="J11" i="37" s="1"/>
  <c r="K11" i="37" s="1"/>
  <c r="L11" i="37" s="1"/>
  <c r="B9" i="37"/>
  <c r="B8" i="37"/>
  <c r="D41" i="33"/>
  <c r="C9" i="37" s="1"/>
  <c r="D8" i="37"/>
  <c r="E8" i="37"/>
  <c r="F8" i="37"/>
  <c r="G8" i="37"/>
  <c r="H8" i="37"/>
  <c r="I8" i="37"/>
  <c r="J8" i="37"/>
  <c r="K8" i="37"/>
  <c r="L8" i="37"/>
  <c r="C8" i="37"/>
  <c r="D7" i="37"/>
  <c r="E7" i="37" s="1"/>
  <c r="F7" i="37" s="1"/>
  <c r="G7" i="37" s="1"/>
  <c r="H7" i="37" s="1"/>
  <c r="I7" i="37" s="1"/>
  <c r="J7" i="37" s="1"/>
  <c r="K7" i="37" s="1"/>
  <c r="L7" i="37" s="1"/>
  <c r="E1" i="37"/>
  <c r="F1" i="37" s="1"/>
  <c r="G1" i="37" s="1"/>
  <c r="H1" i="37" s="1"/>
  <c r="I1" i="37" s="1"/>
  <c r="J1" i="37" s="1"/>
  <c r="K1" i="37" s="1"/>
  <c r="D1" i="37"/>
  <c r="AA5" i="33"/>
  <c r="AB5" i="33" s="1"/>
  <c r="AC5" i="33" s="1"/>
  <c r="AD5" i="33" s="1"/>
  <c r="AE5" i="33" s="1"/>
  <c r="AF5" i="33" s="1"/>
  <c r="AG5" i="33" s="1"/>
  <c r="AH5" i="33" s="1"/>
  <c r="AI5" i="33" s="1"/>
  <c r="Y5" i="33"/>
  <c r="Y6" i="33"/>
  <c r="Z6" i="33"/>
  <c r="AA6" i="33"/>
  <c r="AB6" i="33"/>
  <c r="AC6" i="33"/>
  <c r="AD6" i="33"/>
  <c r="AE6" i="33"/>
  <c r="AF6" i="33"/>
  <c r="AG6" i="33"/>
  <c r="AH6" i="33"/>
  <c r="AI6" i="33"/>
  <c r="Y7" i="33"/>
  <c r="Z7" i="33"/>
  <c r="AA7" i="33"/>
  <c r="AB7" i="33"/>
  <c r="AC7" i="33"/>
  <c r="AD7" i="33"/>
  <c r="AE7" i="33"/>
  <c r="AF7" i="33"/>
  <c r="AG7" i="33"/>
  <c r="AH7" i="33"/>
  <c r="AI7" i="33"/>
  <c r="Y8" i="33"/>
  <c r="Z8" i="33"/>
  <c r="AA8" i="33"/>
  <c r="AB8" i="33"/>
  <c r="AC8" i="33"/>
  <c r="AD8" i="33"/>
  <c r="AE8" i="33"/>
  <c r="AF8" i="33"/>
  <c r="AG8" i="33"/>
  <c r="AH8" i="33"/>
  <c r="AI8" i="33"/>
  <c r="Y9" i="33"/>
  <c r="Z9" i="33"/>
  <c r="AA9" i="33"/>
  <c r="AB9" i="33"/>
  <c r="AC9" i="33"/>
  <c r="AD9" i="33"/>
  <c r="AE9" i="33"/>
  <c r="AF9" i="33"/>
  <c r="AG9" i="33"/>
  <c r="AH9" i="33"/>
  <c r="AI9" i="33"/>
  <c r="Y10" i="33"/>
  <c r="Y11" i="33"/>
  <c r="Y12" i="33"/>
  <c r="D8" i="33"/>
  <c r="F8" i="33"/>
  <c r="AB10" i="33" s="1"/>
  <c r="G8" i="33"/>
  <c r="AC10" i="33" s="1"/>
  <c r="I8" i="33"/>
  <c r="AE10" i="33" s="1"/>
  <c r="C16" i="33"/>
  <c r="C20" i="33" s="1"/>
  <c r="B16" i="33"/>
  <c r="B20" i="33" s="1"/>
  <c r="Z10" i="33" l="1"/>
  <c r="H3" i="34" l="1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2" i="34"/>
  <c r="G5" i="34"/>
  <c r="G6" i="34"/>
  <c r="G7" i="34"/>
  <c r="G13" i="34"/>
  <c r="G14" i="34"/>
  <c r="G15" i="34"/>
  <c r="G21" i="34"/>
  <c r="G22" i="34"/>
  <c r="G23" i="34"/>
  <c r="G29" i="34"/>
  <c r="G30" i="34"/>
  <c r="G31" i="34"/>
  <c r="G37" i="34"/>
  <c r="G38" i="34"/>
  <c r="G39" i="34"/>
  <c r="G45" i="34"/>
  <c r="G46" i="34"/>
  <c r="G47" i="34"/>
  <c r="G53" i="34"/>
  <c r="G54" i="34"/>
  <c r="G55" i="34"/>
  <c r="G61" i="34"/>
  <c r="G62" i="34"/>
  <c r="G63" i="34"/>
  <c r="G69" i="34"/>
  <c r="G70" i="34"/>
  <c r="G71" i="34"/>
  <c r="G77" i="34"/>
  <c r="G78" i="34"/>
  <c r="G79" i="34"/>
  <c r="G85" i="34"/>
  <c r="G86" i="34"/>
  <c r="G87" i="34"/>
  <c r="G93" i="34"/>
  <c r="G94" i="34"/>
  <c r="G95" i="34"/>
  <c r="G101" i="34"/>
  <c r="G102" i="34"/>
  <c r="G103" i="34"/>
  <c r="G109" i="34"/>
  <c r="G110" i="34"/>
  <c r="G111" i="34"/>
  <c r="G117" i="34"/>
  <c r="G118" i="34"/>
  <c r="G119" i="34"/>
  <c r="G125" i="34"/>
  <c r="G126" i="34"/>
  <c r="G127" i="34"/>
  <c r="G2" i="34"/>
  <c r="C3" i="34"/>
  <c r="G3" i="34" s="1"/>
  <c r="C4" i="34"/>
  <c r="G4" i="34" s="1"/>
  <c r="C5" i="34"/>
  <c r="C6" i="34"/>
  <c r="C7" i="34"/>
  <c r="C8" i="34"/>
  <c r="G8" i="34" s="1"/>
  <c r="C9" i="34"/>
  <c r="G9" i="34" s="1"/>
  <c r="C10" i="34"/>
  <c r="G10" i="34" s="1"/>
  <c r="C11" i="34"/>
  <c r="G11" i="34" s="1"/>
  <c r="C12" i="34"/>
  <c r="G12" i="34" s="1"/>
  <c r="C13" i="34"/>
  <c r="C14" i="34"/>
  <c r="C15" i="34"/>
  <c r="C16" i="34"/>
  <c r="G16" i="34" s="1"/>
  <c r="C17" i="34"/>
  <c r="G17" i="34" s="1"/>
  <c r="C18" i="34"/>
  <c r="G18" i="34" s="1"/>
  <c r="C19" i="34"/>
  <c r="G19" i="34" s="1"/>
  <c r="C20" i="34"/>
  <c r="G20" i="34" s="1"/>
  <c r="C21" i="34"/>
  <c r="C22" i="34"/>
  <c r="C23" i="34"/>
  <c r="C24" i="34"/>
  <c r="G24" i="34" s="1"/>
  <c r="C25" i="34"/>
  <c r="G25" i="34" s="1"/>
  <c r="C26" i="34"/>
  <c r="G26" i="34" s="1"/>
  <c r="C27" i="34"/>
  <c r="G27" i="34" s="1"/>
  <c r="C28" i="34"/>
  <c r="G28" i="34" s="1"/>
  <c r="C29" i="34"/>
  <c r="C30" i="34"/>
  <c r="C31" i="34"/>
  <c r="C32" i="34"/>
  <c r="G32" i="34" s="1"/>
  <c r="C33" i="34"/>
  <c r="G33" i="34" s="1"/>
  <c r="C34" i="34"/>
  <c r="G34" i="34" s="1"/>
  <c r="C35" i="34"/>
  <c r="G35" i="34" s="1"/>
  <c r="C36" i="34"/>
  <c r="G36" i="34" s="1"/>
  <c r="C37" i="34"/>
  <c r="C38" i="34"/>
  <c r="C39" i="34"/>
  <c r="C40" i="34"/>
  <c r="G40" i="34" s="1"/>
  <c r="C41" i="34"/>
  <c r="G41" i="34" s="1"/>
  <c r="C42" i="34"/>
  <c r="G42" i="34" s="1"/>
  <c r="C43" i="34"/>
  <c r="G43" i="34" s="1"/>
  <c r="C44" i="34"/>
  <c r="G44" i="34" s="1"/>
  <c r="C45" i="34"/>
  <c r="C46" i="34"/>
  <c r="C47" i="34"/>
  <c r="C48" i="34"/>
  <c r="G48" i="34" s="1"/>
  <c r="C49" i="34"/>
  <c r="G49" i="34" s="1"/>
  <c r="C50" i="34"/>
  <c r="G50" i="34" s="1"/>
  <c r="C51" i="34"/>
  <c r="G51" i="34" s="1"/>
  <c r="C52" i="34"/>
  <c r="G52" i="34" s="1"/>
  <c r="C53" i="34"/>
  <c r="C54" i="34"/>
  <c r="C55" i="34"/>
  <c r="C56" i="34"/>
  <c r="G56" i="34" s="1"/>
  <c r="C57" i="34"/>
  <c r="G57" i="34" s="1"/>
  <c r="C58" i="34"/>
  <c r="G58" i="34" s="1"/>
  <c r="C59" i="34"/>
  <c r="G59" i="34" s="1"/>
  <c r="C60" i="34"/>
  <c r="G60" i="34" s="1"/>
  <c r="C61" i="34"/>
  <c r="C62" i="34"/>
  <c r="C63" i="34"/>
  <c r="C64" i="34"/>
  <c r="G64" i="34" s="1"/>
  <c r="C65" i="34"/>
  <c r="G65" i="34" s="1"/>
  <c r="C66" i="34"/>
  <c r="G66" i="34" s="1"/>
  <c r="C67" i="34"/>
  <c r="G67" i="34" s="1"/>
  <c r="C68" i="34"/>
  <c r="G68" i="34" s="1"/>
  <c r="C69" i="34"/>
  <c r="C70" i="34"/>
  <c r="C71" i="34"/>
  <c r="C72" i="34"/>
  <c r="G72" i="34" s="1"/>
  <c r="C73" i="34"/>
  <c r="G73" i="34" s="1"/>
  <c r="C74" i="34"/>
  <c r="G74" i="34" s="1"/>
  <c r="C75" i="34"/>
  <c r="G75" i="34" s="1"/>
  <c r="C76" i="34"/>
  <c r="G76" i="34" s="1"/>
  <c r="C77" i="34"/>
  <c r="C78" i="34"/>
  <c r="C79" i="34"/>
  <c r="C80" i="34"/>
  <c r="G80" i="34" s="1"/>
  <c r="C81" i="34"/>
  <c r="G81" i="34" s="1"/>
  <c r="C82" i="34"/>
  <c r="G82" i="34" s="1"/>
  <c r="C83" i="34"/>
  <c r="G83" i="34" s="1"/>
  <c r="C84" i="34"/>
  <c r="G84" i="34" s="1"/>
  <c r="C85" i="34"/>
  <c r="C86" i="34"/>
  <c r="C87" i="34"/>
  <c r="C88" i="34"/>
  <c r="G88" i="34" s="1"/>
  <c r="C89" i="34"/>
  <c r="G89" i="34" s="1"/>
  <c r="C90" i="34"/>
  <c r="G90" i="34" s="1"/>
  <c r="C91" i="34"/>
  <c r="G91" i="34" s="1"/>
  <c r="C92" i="34"/>
  <c r="G92" i="34" s="1"/>
  <c r="C93" i="34"/>
  <c r="C94" i="34"/>
  <c r="C95" i="34"/>
  <c r="C96" i="34"/>
  <c r="G96" i="34" s="1"/>
  <c r="C97" i="34"/>
  <c r="G97" i="34" s="1"/>
  <c r="C98" i="34"/>
  <c r="G98" i="34" s="1"/>
  <c r="C99" i="34"/>
  <c r="G99" i="34" s="1"/>
  <c r="C100" i="34"/>
  <c r="G100" i="34" s="1"/>
  <c r="C101" i="34"/>
  <c r="C102" i="34"/>
  <c r="C103" i="34"/>
  <c r="C104" i="34"/>
  <c r="G104" i="34" s="1"/>
  <c r="C105" i="34"/>
  <c r="G105" i="34" s="1"/>
  <c r="C106" i="34"/>
  <c r="G106" i="34" s="1"/>
  <c r="C107" i="34"/>
  <c r="G107" i="34" s="1"/>
  <c r="C108" i="34"/>
  <c r="G108" i="34" s="1"/>
  <c r="C109" i="34"/>
  <c r="C110" i="34"/>
  <c r="C111" i="34"/>
  <c r="C112" i="34"/>
  <c r="G112" i="34" s="1"/>
  <c r="C113" i="34"/>
  <c r="G113" i="34" s="1"/>
  <c r="C114" i="34"/>
  <c r="G114" i="34" s="1"/>
  <c r="C115" i="34"/>
  <c r="G115" i="34" s="1"/>
  <c r="C116" i="34"/>
  <c r="G116" i="34" s="1"/>
  <c r="C117" i="34"/>
  <c r="C118" i="34"/>
  <c r="C119" i="34"/>
  <c r="C120" i="34"/>
  <c r="G120" i="34" s="1"/>
  <c r="C121" i="34"/>
  <c r="G121" i="34" s="1"/>
  <c r="C122" i="34"/>
  <c r="G122" i="34" s="1"/>
  <c r="C123" i="34"/>
  <c r="G123" i="34" s="1"/>
  <c r="C124" i="34"/>
  <c r="G124" i="34" s="1"/>
  <c r="C125" i="34"/>
  <c r="C126" i="34"/>
  <c r="C127" i="34"/>
  <c r="C128" i="34"/>
  <c r="G128" i="34" s="1"/>
  <c r="C129" i="34"/>
  <c r="G129" i="34" s="1"/>
  <c r="C130" i="34"/>
  <c r="G130" i="34" s="1"/>
  <c r="C131" i="34"/>
  <c r="G131" i="34" s="1"/>
  <c r="C132" i="34"/>
  <c r="G132" i="34" s="1"/>
  <c r="C2" i="34"/>
  <c r="E8" i="33" l="1"/>
  <c r="H8" i="33"/>
  <c r="J8" i="33"/>
  <c r="K8" i="33"/>
  <c r="L8" i="33"/>
  <c r="M8" i="33"/>
  <c r="D68" i="33"/>
  <c r="AG10" i="33" l="1"/>
  <c r="AI10" i="33"/>
  <c r="AH10" i="33"/>
  <c r="AF10" i="33"/>
  <c r="AD10" i="33"/>
  <c r="AA10" i="33"/>
  <c r="D42" i="33"/>
  <c r="E41" i="33"/>
  <c r="D9" i="37" s="1"/>
  <c r="E42" i="33" l="1"/>
  <c r="F41" i="33"/>
  <c r="E9" i="37" s="1"/>
  <c r="E68" i="33"/>
  <c r="F68" i="33" l="1"/>
  <c r="F42" i="33"/>
  <c r="G41" i="33"/>
  <c r="F9" i="37" s="1"/>
  <c r="H41" i="33" l="1"/>
  <c r="G9" i="37" s="1"/>
  <c r="G42" i="33"/>
  <c r="G68" i="33"/>
  <c r="H42" i="33" l="1"/>
  <c r="I41" i="33"/>
  <c r="H9" i="37" s="1"/>
  <c r="H68" i="33"/>
  <c r="I42" i="33" l="1"/>
  <c r="I68" i="33"/>
  <c r="J41" i="33"/>
  <c r="I9" i="37" s="1"/>
  <c r="J42" i="33" l="1"/>
  <c r="J68" i="33"/>
  <c r="K41" i="33"/>
  <c r="J9" i="37" s="1"/>
  <c r="K42" i="33" l="1"/>
  <c r="L41" i="33"/>
  <c r="K9" i="37" s="1"/>
  <c r="K68" i="33"/>
  <c r="L42" i="33" l="1"/>
  <c r="M41" i="33"/>
  <c r="L9" i="37" s="1"/>
  <c r="L68" i="33"/>
  <c r="M68" i="33" l="1"/>
  <c r="M42" i="33"/>
  <c r="E47" i="33" l="1"/>
  <c r="F47" i="33"/>
  <c r="G47" i="33"/>
  <c r="H47" i="33"/>
  <c r="I47" i="33"/>
  <c r="J47" i="33"/>
  <c r="K47" i="33"/>
  <c r="L47" i="33"/>
  <c r="M47" i="33"/>
  <c r="D47" i="33"/>
  <c r="E46" i="33"/>
  <c r="F46" i="33"/>
  <c r="G46" i="33"/>
  <c r="H46" i="33"/>
  <c r="I46" i="33"/>
  <c r="J46" i="33"/>
  <c r="K46" i="33"/>
  <c r="L46" i="33"/>
  <c r="M46" i="33"/>
  <c r="D46" i="33"/>
  <c r="E45" i="33"/>
  <c r="F45" i="33"/>
  <c r="G45" i="33"/>
  <c r="H45" i="33"/>
  <c r="I45" i="33"/>
  <c r="J45" i="33"/>
  <c r="K45" i="33"/>
  <c r="L45" i="33"/>
  <c r="M45" i="33"/>
  <c r="D45" i="33"/>
  <c r="E43" i="33"/>
  <c r="E44" i="33" s="1"/>
  <c r="F43" i="33"/>
  <c r="F44" i="33" s="1"/>
  <c r="G43" i="33"/>
  <c r="G44" i="33" s="1"/>
  <c r="H43" i="33"/>
  <c r="H44" i="33" s="1"/>
  <c r="I43" i="33"/>
  <c r="I44" i="33" s="1"/>
  <c r="J43" i="33"/>
  <c r="J44" i="33" s="1"/>
  <c r="K43" i="33"/>
  <c r="K44" i="33" s="1"/>
  <c r="L43" i="33"/>
  <c r="L44" i="33" s="1"/>
  <c r="M43" i="33"/>
  <c r="M44" i="33" s="1"/>
  <c r="D43" i="33"/>
  <c r="D44" i="33" s="1"/>
  <c r="L49" i="33" l="1"/>
  <c r="L50" i="33" s="1"/>
  <c r="M49" i="33"/>
  <c r="M50" i="33" s="1"/>
  <c r="K49" i="33"/>
  <c r="K50" i="33" s="1"/>
  <c r="J49" i="33"/>
  <c r="J50" i="33" s="1"/>
  <c r="I49" i="33"/>
  <c r="I50" i="33" s="1"/>
  <c r="H49" i="33"/>
  <c r="H50" i="33" s="1"/>
  <c r="G49" i="33"/>
  <c r="G50" i="33" s="1"/>
  <c r="F49" i="33"/>
  <c r="F50" i="33" s="1"/>
  <c r="E49" i="33"/>
  <c r="E50" i="33" s="1"/>
  <c r="D49" i="33"/>
  <c r="D50" i="33" s="1"/>
  <c r="C82" i="33"/>
  <c r="B82" i="33"/>
  <c r="C81" i="33"/>
  <c r="B81" i="33"/>
  <c r="C115" i="33"/>
  <c r="B115" i="33"/>
  <c r="C114" i="33"/>
  <c r="B114" i="33"/>
  <c r="B103" i="33"/>
  <c r="C99" i="33"/>
  <c r="B99" i="33"/>
  <c r="C90" i="33"/>
  <c r="B90" i="33"/>
  <c r="C80" i="33"/>
  <c r="C132" i="33" s="1"/>
  <c r="B80" i="33"/>
  <c r="C79" i="33"/>
  <c r="C131" i="33" s="1"/>
  <c r="B79" i="33"/>
  <c r="B131" i="33" s="1"/>
  <c r="C71" i="2"/>
  <c r="D71" i="2"/>
  <c r="E71" i="2"/>
  <c r="F71" i="2"/>
  <c r="G71" i="2"/>
  <c r="H71" i="2"/>
  <c r="I71" i="2"/>
  <c r="J71" i="2"/>
  <c r="K71" i="2"/>
  <c r="B71" i="2"/>
  <c r="C76" i="33"/>
  <c r="C78" i="33" s="1"/>
  <c r="D76" i="33"/>
  <c r="D78" i="33" s="1"/>
  <c r="E76" i="33"/>
  <c r="E78" i="33" s="1"/>
  <c r="F76" i="33"/>
  <c r="F78" i="33" s="1"/>
  <c r="B76" i="33"/>
  <c r="B78" i="33" s="1"/>
  <c r="E73" i="33"/>
  <c r="D73" i="33"/>
  <c r="B73" i="33"/>
  <c r="C66" i="2"/>
  <c r="D66" i="2"/>
  <c r="E66" i="2"/>
  <c r="F66" i="2"/>
  <c r="G66" i="2"/>
  <c r="H66" i="2"/>
  <c r="I66" i="2"/>
  <c r="J66" i="2"/>
  <c r="K66" i="2"/>
  <c r="C73" i="33" s="1"/>
  <c r="B66" i="2"/>
  <c r="B67" i="2"/>
  <c r="C70" i="2"/>
  <c r="D70" i="2"/>
  <c r="E70" i="2"/>
  <c r="F70" i="2"/>
  <c r="G70" i="2"/>
  <c r="H70" i="2"/>
  <c r="I70" i="2"/>
  <c r="J70" i="2"/>
  <c r="B68" i="33" s="1"/>
  <c r="K70" i="2"/>
  <c r="C68" i="33" s="1"/>
  <c r="B70" i="2"/>
  <c r="C69" i="2"/>
  <c r="D69" i="2"/>
  <c r="E69" i="2"/>
  <c r="F69" i="2"/>
  <c r="G69" i="2"/>
  <c r="H69" i="2"/>
  <c r="I69" i="2"/>
  <c r="J69" i="2"/>
  <c r="B67" i="33" s="1"/>
  <c r="K69" i="2"/>
  <c r="C67" i="33" s="1"/>
  <c r="B69" i="2"/>
  <c r="L69" i="2" s="1"/>
  <c r="E67" i="33" s="1"/>
  <c r="L71" i="2" l="1"/>
  <c r="L70" i="2"/>
  <c r="F73" i="33"/>
  <c r="B132" i="33"/>
  <c r="M73" i="33"/>
  <c r="K73" i="33"/>
  <c r="J73" i="33"/>
  <c r="L76" i="33"/>
  <c r="L78" i="33" s="1"/>
  <c r="G76" i="33"/>
  <c r="G78" i="33" s="1"/>
  <c r="G103" i="33" s="1"/>
  <c r="I73" i="33"/>
  <c r="K76" i="33"/>
  <c r="K78" i="33" s="1"/>
  <c r="M76" i="33"/>
  <c r="M78" i="33" s="1"/>
  <c r="H73" i="33"/>
  <c r="J76" i="33"/>
  <c r="J78" i="33" s="1"/>
  <c r="G73" i="33"/>
  <c r="I76" i="33"/>
  <c r="I78" i="33" s="1"/>
  <c r="H76" i="33"/>
  <c r="H78" i="33" s="1"/>
  <c r="L73" i="33"/>
  <c r="C103" i="33"/>
  <c r="F103" i="33"/>
  <c r="E103" i="33"/>
  <c r="D103" i="33"/>
  <c r="L67" i="33"/>
  <c r="J67" i="33"/>
  <c r="K67" i="33"/>
  <c r="H67" i="33"/>
  <c r="I67" i="33"/>
  <c r="G67" i="33"/>
  <c r="D67" i="33"/>
  <c r="F67" i="33"/>
  <c r="M67" i="33"/>
  <c r="C33" i="1"/>
  <c r="D33" i="1"/>
  <c r="E33" i="1"/>
  <c r="F33" i="1"/>
  <c r="G33" i="1"/>
  <c r="H33" i="1"/>
  <c r="I33" i="1"/>
  <c r="J33" i="1"/>
  <c r="K33" i="1"/>
  <c r="B33" i="1"/>
  <c r="L103" i="33" l="1"/>
  <c r="I103" i="33"/>
  <c r="H103" i="33"/>
  <c r="M103" i="33"/>
  <c r="J103" i="33"/>
  <c r="K103" i="33"/>
  <c r="B50" i="2"/>
  <c r="B68" i="2" s="1"/>
  <c r="K50" i="2"/>
  <c r="K68" i="2" s="1"/>
  <c r="D50" i="2"/>
  <c r="D68" i="2" s="1"/>
  <c r="E50" i="2"/>
  <c r="E68" i="2" s="1"/>
  <c r="F50" i="2"/>
  <c r="F68" i="2" s="1"/>
  <c r="G50" i="2"/>
  <c r="G68" i="2" s="1"/>
  <c r="H50" i="2"/>
  <c r="H68" i="2" s="1"/>
  <c r="I50" i="2"/>
  <c r="I68" i="2" s="1"/>
  <c r="J50" i="2"/>
  <c r="J68" i="2" s="1"/>
  <c r="C50" i="2"/>
  <c r="C68" i="2" s="1"/>
  <c r="C67" i="2"/>
  <c r="D67" i="2"/>
  <c r="E67" i="2"/>
  <c r="L67" i="2" s="1"/>
  <c r="F67" i="2"/>
  <c r="G67" i="2"/>
  <c r="H67" i="2"/>
  <c r="I67" i="2"/>
  <c r="J67" i="2"/>
  <c r="B64" i="33" s="1"/>
  <c r="K67" i="2"/>
  <c r="C64" i="33" s="1"/>
  <c r="C66" i="33"/>
  <c r="D66" i="33"/>
  <c r="E66" i="33"/>
  <c r="F66" i="33"/>
  <c r="G66" i="33"/>
  <c r="H66" i="33"/>
  <c r="I66" i="33"/>
  <c r="J66" i="33"/>
  <c r="K66" i="33"/>
  <c r="L66" i="33"/>
  <c r="M66" i="33"/>
  <c r="B66" i="33"/>
  <c r="B88" i="33" s="1"/>
  <c r="C63" i="33"/>
  <c r="D63" i="33"/>
  <c r="E63" i="33"/>
  <c r="F63" i="33"/>
  <c r="G63" i="33"/>
  <c r="H63" i="33"/>
  <c r="I63" i="33"/>
  <c r="J63" i="33"/>
  <c r="K63" i="33"/>
  <c r="L63" i="33"/>
  <c r="M63" i="33"/>
  <c r="B63" i="33"/>
  <c r="L66" i="2"/>
  <c r="C65" i="2"/>
  <c r="D65" i="2"/>
  <c r="E65" i="2"/>
  <c r="F65" i="2"/>
  <c r="G65" i="2"/>
  <c r="H65" i="2"/>
  <c r="I65" i="2"/>
  <c r="J65" i="2"/>
  <c r="K65" i="2"/>
  <c r="B65" i="2"/>
  <c r="C64" i="2"/>
  <c r="D64" i="2"/>
  <c r="E64" i="2"/>
  <c r="F64" i="2"/>
  <c r="G64" i="2"/>
  <c r="H64" i="2"/>
  <c r="I64" i="2"/>
  <c r="J64" i="2"/>
  <c r="K64" i="2"/>
  <c r="B64" i="2"/>
  <c r="C63" i="2"/>
  <c r="D63" i="2"/>
  <c r="E63" i="2"/>
  <c r="F63" i="2"/>
  <c r="G63" i="2"/>
  <c r="H63" i="2"/>
  <c r="I63" i="2"/>
  <c r="J63" i="2"/>
  <c r="K63" i="2"/>
  <c r="B63" i="2"/>
  <c r="C70" i="33"/>
  <c r="D70" i="33"/>
  <c r="E70" i="33"/>
  <c r="F70" i="33"/>
  <c r="G70" i="33"/>
  <c r="H70" i="33"/>
  <c r="I70" i="33"/>
  <c r="J70" i="33"/>
  <c r="K70" i="33"/>
  <c r="L70" i="33"/>
  <c r="M70" i="33"/>
  <c r="B70" i="33"/>
  <c r="C62" i="2"/>
  <c r="D62" i="2"/>
  <c r="E62" i="2"/>
  <c r="F62" i="2"/>
  <c r="G62" i="2"/>
  <c r="H62" i="2"/>
  <c r="I62" i="2"/>
  <c r="J62" i="2"/>
  <c r="K62" i="2"/>
  <c r="B62" i="2"/>
  <c r="C53" i="33"/>
  <c r="C54" i="33" s="1"/>
  <c r="D53" i="33"/>
  <c r="D54" i="33" s="1"/>
  <c r="D55" i="33" s="1"/>
  <c r="E53" i="33"/>
  <c r="F53" i="33"/>
  <c r="G53" i="33"/>
  <c r="H53" i="33"/>
  <c r="I53" i="33"/>
  <c r="J53" i="33"/>
  <c r="K53" i="33"/>
  <c r="L53" i="33"/>
  <c r="M53" i="33"/>
  <c r="B53" i="33"/>
  <c r="B54" i="33" s="1"/>
  <c r="B55" i="33" s="1"/>
  <c r="B113" i="33" s="1"/>
  <c r="B117" i="33" s="1"/>
  <c r="L25" i="1"/>
  <c r="L24" i="1"/>
  <c r="D2" i="33"/>
  <c r="E2" i="33" l="1"/>
  <c r="D16" i="33"/>
  <c r="D20" i="33" s="1"/>
  <c r="D88" i="33"/>
  <c r="H54" i="33"/>
  <c r="H55" i="33" s="1"/>
  <c r="H56" i="33" s="1"/>
  <c r="F54" i="33"/>
  <c r="F55" i="33" s="1"/>
  <c r="F56" i="33" s="1"/>
  <c r="G54" i="33"/>
  <c r="G55" i="33" s="1"/>
  <c r="G56" i="33" s="1"/>
  <c r="E54" i="33"/>
  <c r="E55" i="33" s="1"/>
  <c r="E56" i="33" s="1"/>
  <c r="K54" i="33"/>
  <c r="K55" i="33" s="1"/>
  <c r="K56" i="33" s="1"/>
  <c r="L54" i="33"/>
  <c r="L55" i="33" s="1"/>
  <c r="I54" i="33"/>
  <c r="I55" i="33" s="1"/>
  <c r="I56" i="33" s="1"/>
  <c r="M54" i="33"/>
  <c r="M55" i="33" s="1"/>
  <c r="M56" i="33" s="1"/>
  <c r="M101" i="33" s="1"/>
  <c r="J88" i="33"/>
  <c r="H88" i="33"/>
  <c r="J54" i="33"/>
  <c r="J55" i="33" s="1"/>
  <c r="J56" i="33" s="1"/>
  <c r="F88" i="33"/>
  <c r="L88" i="33"/>
  <c r="K88" i="33"/>
  <c r="M88" i="33"/>
  <c r="G88" i="33"/>
  <c r="E88" i="33"/>
  <c r="H89" i="33"/>
  <c r="H114" i="33"/>
  <c r="B72" i="33"/>
  <c r="B89" i="33"/>
  <c r="B91" i="33" s="1"/>
  <c r="B92" i="33" s="1"/>
  <c r="B96" i="33" s="1"/>
  <c r="F89" i="33"/>
  <c r="F114" i="33"/>
  <c r="M89" i="33"/>
  <c r="M114" i="33"/>
  <c r="E89" i="33"/>
  <c r="E114" i="33"/>
  <c r="I114" i="33"/>
  <c r="I89" i="33"/>
  <c r="L89" i="33"/>
  <c r="L114" i="33"/>
  <c r="D89" i="33"/>
  <c r="D114" i="33"/>
  <c r="C88" i="33"/>
  <c r="K89" i="33"/>
  <c r="K114" i="33"/>
  <c r="C89" i="33"/>
  <c r="C91" i="33" s="1"/>
  <c r="G89" i="33"/>
  <c r="G114" i="33"/>
  <c r="J114" i="33"/>
  <c r="J89" i="33"/>
  <c r="I88" i="33"/>
  <c r="I60" i="33"/>
  <c r="H60" i="33"/>
  <c r="G60" i="33"/>
  <c r="F60" i="33"/>
  <c r="J60" i="33"/>
  <c r="M60" i="33"/>
  <c r="E60" i="33"/>
  <c r="L60" i="33"/>
  <c r="D60" i="33"/>
  <c r="C72" i="33"/>
  <c r="K60" i="33"/>
  <c r="F64" i="33"/>
  <c r="F65" i="33" s="1"/>
  <c r="F69" i="33" s="1"/>
  <c r="D64" i="33"/>
  <c r="D65" i="33" s="1"/>
  <c r="D69" i="33" s="1"/>
  <c r="K64" i="33"/>
  <c r="K65" i="33" s="1"/>
  <c r="K69" i="33" s="1"/>
  <c r="M64" i="33"/>
  <c r="M65" i="33" s="1"/>
  <c r="M69" i="33" s="1"/>
  <c r="G64" i="33"/>
  <c r="G65" i="33" s="1"/>
  <c r="G69" i="33" s="1"/>
  <c r="H64" i="33"/>
  <c r="H65" i="33" s="1"/>
  <c r="H69" i="33" s="1"/>
  <c r="E64" i="33"/>
  <c r="E65" i="33" s="1"/>
  <c r="E69" i="33" s="1"/>
  <c r="I64" i="33"/>
  <c r="I65" i="33" s="1"/>
  <c r="I69" i="33" s="1"/>
  <c r="J64" i="33"/>
  <c r="J65" i="33" s="1"/>
  <c r="J69" i="33" s="1"/>
  <c r="L64" i="33"/>
  <c r="L65" i="33" s="1"/>
  <c r="L69" i="33" s="1"/>
  <c r="B65" i="33"/>
  <c r="C65" i="33"/>
  <c r="C69" i="33" s="1"/>
  <c r="L62" i="2"/>
  <c r="L65" i="2"/>
  <c r="L64" i="2"/>
  <c r="L63" i="2"/>
  <c r="C55" i="33"/>
  <c r="B56" i="33"/>
  <c r="D56" i="33"/>
  <c r="D81" i="33" s="1"/>
  <c r="M5" i="32"/>
  <c r="F2" i="33" l="1"/>
  <c r="E16" i="33"/>
  <c r="E20" i="33" s="1"/>
  <c r="L56" i="33"/>
  <c r="L101" i="33" s="1"/>
  <c r="M98" i="33"/>
  <c r="G115" i="33"/>
  <c r="E81" i="33"/>
  <c r="F81" i="33" s="1"/>
  <c r="G81" i="33" s="1"/>
  <c r="H81" i="33" s="1"/>
  <c r="I81" i="33" s="1"/>
  <c r="J81" i="33" s="1"/>
  <c r="K81" i="33" s="1"/>
  <c r="E115" i="33"/>
  <c r="B69" i="33"/>
  <c r="B74" i="33" s="1"/>
  <c r="B83" i="33" s="1"/>
  <c r="M115" i="33"/>
  <c r="H115" i="33"/>
  <c r="K115" i="33"/>
  <c r="J115" i="33"/>
  <c r="D71" i="33"/>
  <c r="D72" i="33" s="1"/>
  <c r="D74" i="33" s="1"/>
  <c r="D83" i="33" s="1"/>
  <c r="D113" i="33"/>
  <c r="D99" i="33"/>
  <c r="D90" i="33"/>
  <c r="D91" i="33" s="1"/>
  <c r="D92" i="33" s="1"/>
  <c r="D96" i="33" s="1"/>
  <c r="H90" i="33"/>
  <c r="H91" i="33" s="1"/>
  <c r="H92" i="33" s="1"/>
  <c r="H96" i="33" s="1"/>
  <c r="H113" i="33"/>
  <c r="H99" i="33"/>
  <c r="G90" i="33"/>
  <c r="G91" i="33" s="1"/>
  <c r="G92" i="33" s="1"/>
  <c r="G96" i="33" s="1"/>
  <c r="G113" i="33"/>
  <c r="G99" i="33"/>
  <c r="G98" i="33"/>
  <c r="G101" i="33"/>
  <c r="J101" i="33"/>
  <c r="J98" i="33"/>
  <c r="L113" i="33"/>
  <c r="L99" i="33"/>
  <c r="L90" i="33"/>
  <c r="L91" i="33" s="1"/>
  <c r="L92" i="33" s="1"/>
  <c r="L96" i="33" s="1"/>
  <c r="I90" i="33"/>
  <c r="I91" i="33" s="1"/>
  <c r="I92" i="33" s="1"/>
  <c r="I96" i="33" s="1"/>
  <c r="I113" i="33"/>
  <c r="I99" i="33"/>
  <c r="C74" i="33"/>
  <c r="C83" i="33" s="1"/>
  <c r="E113" i="33"/>
  <c r="E99" i="33"/>
  <c r="E90" i="33"/>
  <c r="E91" i="33" s="1"/>
  <c r="E92" i="33" s="1"/>
  <c r="E96" i="33" s="1"/>
  <c r="H98" i="33"/>
  <c r="H101" i="33"/>
  <c r="C56" i="33"/>
  <c r="C113" i="33"/>
  <c r="C117" i="33" s="1"/>
  <c r="C120" i="33" s="1"/>
  <c r="K101" i="33"/>
  <c r="K98" i="33"/>
  <c r="L115" i="33"/>
  <c r="D115" i="33"/>
  <c r="M90" i="33"/>
  <c r="M91" i="33" s="1"/>
  <c r="M92" i="33" s="1"/>
  <c r="M96" i="33" s="1"/>
  <c r="M113" i="33"/>
  <c r="M99" i="33"/>
  <c r="M100" i="33" s="1"/>
  <c r="M102" i="33" s="1"/>
  <c r="M104" i="33" s="1"/>
  <c r="D101" i="33"/>
  <c r="D98" i="33"/>
  <c r="F115" i="33"/>
  <c r="J90" i="33"/>
  <c r="J91" i="33" s="1"/>
  <c r="J92" i="33" s="1"/>
  <c r="J96" i="33" s="1"/>
  <c r="J99" i="33"/>
  <c r="J113" i="33"/>
  <c r="C92" i="33"/>
  <c r="C96" i="33" s="1"/>
  <c r="E101" i="33"/>
  <c r="E98" i="33"/>
  <c r="F98" i="33"/>
  <c r="F101" i="33"/>
  <c r="I98" i="33"/>
  <c r="I101" i="33"/>
  <c r="B101" i="33"/>
  <c r="B98" i="33"/>
  <c r="B100" i="33" s="1"/>
  <c r="I115" i="33"/>
  <c r="K99" i="33"/>
  <c r="K90" i="33"/>
  <c r="K91" i="33" s="1"/>
  <c r="K92" i="33" s="1"/>
  <c r="K96" i="33" s="1"/>
  <c r="K113" i="33"/>
  <c r="F90" i="33"/>
  <c r="F91" i="33" s="1"/>
  <c r="F92" i="33" s="1"/>
  <c r="F96" i="33" s="1"/>
  <c r="F113" i="33"/>
  <c r="F99" i="33"/>
  <c r="G117" i="33" l="1"/>
  <c r="D117" i="33"/>
  <c r="G2" i="33"/>
  <c r="F16" i="33"/>
  <c r="F20" i="33" s="1"/>
  <c r="L98" i="33"/>
  <c r="L100" i="33" s="1"/>
  <c r="L102" i="33" s="1"/>
  <c r="L104" i="33" s="1"/>
  <c r="L81" i="33"/>
  <c r="M81" i="33" s="1"/>
  <c r="H117" i="33"/>
  <c r="E117" i="33"/>
  <c r="M117" i="33"/>
  <c r="G100" i="33"/>
  <c r="G102" i="33" s="1"/>
  <c r="G104" i="33" s="1"/>
  <c r="K117" i="33"/>
  <c r="E71" i="33"/>
  <c r="E72" i="33" s="1"/>
  <c r="E74" i="33" s="1"/>
  <c r="E83" i="33" s="1"/>
  <c r="J117" i="33"/>
  <c r="F117" i="33"/>
  <c r="K100" i="33"/>
  <c r="K102" i="33" s="1"/>
  <c r="K104" i="33" s="1"/>
  <c r="K105" i="33" s="1"/>
  <c r="K106" i="33" s="1"/>
  <c r="B102" i="33"/>
  <c r="B104" i="33" s="1"/>
  <c r="B105" i="33" s="1"/>
  <c r="L117" i="33"/>
  <c r="I117" i="33"/>
  <c r="C101" i="33"/>
  <c r="C98" i="33"/>
  <c r="C100" i="33" s="1"/>
  <c r="M105" i="33"/>
  <c r="H100" i="33"/>
  <c r="H102" i="33" s="1"/>
  <c r="H104" i="33" s="1"/>
  <c r="H105" i="33" s="1"/>
  <c r="I100" i="33"/>
  <c r="I102" i="33" s="1"/>
  <c r="I104" i="33" s="1"/>
  <c r="I105" i="33" s="1"/>
  <c r="F100" i="33"/>
  <c r="F102" i="33" s="1"/>
  <c r="F104" i="33" s="1"/>
  <c r="F105" i="33" s="1"/>
  <c r="E100" i="33"/>
  <c r="E102" i="33" s="1"/>
  <c r="E104" i="33" s="1"/>
  <c r="D100" i="33"/>
  <c r="D102" i="33" s="1"/>
  <c r="D104" i="33" s="1"/>
  <c r="D105" i="33" s="1"/>
  <c r="J100" i="33"/>
  <c r="J102" i="33" s="1"/>
  <c r="J104" i="33" s="1"/>
  <c r="J105" i="33" s="1"/>
  <c r="H2" i="33" l="1"/>
  <c r="G16" i="33"/>
  <c r="G20" i="33" s="1"/>
  <c r="F71" i="33"/>
  <c r="F72" i="33" s="1"/>
  <c r="F74" i="33" s="1"/>
  <c r="F83" i="33" s="1"/>
  <c r="C102" i="33"/>
  <c r="C104" i="33" s="1"/>
  <c r="C105" i="33" s="1"/>
  <c r="C106" i="33" s="1"/>
  <c r="D106" i="33"/>
  <c r="D107" i="33" s="1"/>
  <c r="I106" i="33"/>
  <c r="H106" i="33"/>
  <c r="J106" i="33"/>
  <c r="J107" i="33" s="1"/>
  <c r="F106" i="33"/>
  <c r="F107" i="33" s="1"/>
  <c r="M106" i="33"/>
  <c r="M107" i="33" s="1"/>
  <c r="K107" i="33"/>
  <c r="K108" i="33" s="1"/>
  <c r="K109" i="33" s="1"/>
  <c r="E105" i="33"/>
  <c r="B106" i="33"/>
  <c r="B107" i="33" s="1"/>
  <c r="G105" i="33"/>
  <c r="L105" i="33"/>
  <c r="G71" i="33" l="1"/>
  <c r="I2" i="33"/>
  <c r="H16" i="33"/>
  <c r="H20" i="33" s="1"/>
  <c r="E106" i="33"/>
  <c r="E107" i="33" s="1"/>
  <c r="L106" i="33"/>
  <c r="H107" i="33"/>
  <c r="H108" i="33" s="1"/>
  <c r="H109" i="33" s="1"/>
  <c r="G106" i="33"/>
  <c r="G107" i="33" s="1"/>
  <c r="M108" i="33"/>
  <c r="M109" i="33" s="1"/>
  <c r="I107" i="33"/>
  <c r="I108" i="33" s="1"/>
  <c r="I109" i="33" s="1"/>
  <c r="C107" i="33"/>
  <c r="C108" i="33" s="1"/>
  <c r="C109" i="33" s="1"/>
  <c r="F108" i="33"/>
  <c r="F109" i="33" s="1"/>
  <c r="B108" i="33"/>
  <c r="B109" i="33" s="1"/>
  <c r="J108" i="33"/>
  <c r="J109" i="33" s="1"/>
  <c r="D108" i="33"/>
  <c r="D109" i="33" s="1"/>
  <c r="D131" i="33"/>
  <c r="H71" i="33"/>
  <c r="G72" i="33"/>
  <c r="G74" i="33" s="1"/>
  <c r="G83" i="33" s="1"/>
  <c r="J2" i="33" l="1"/>
  <c r="I16" i="33"/>
  <c r="I20" i="33" s="1"/>
  <c r="L107" i="33"/>
  <c r="L108" i="33" s="1"/>
  <c r="L109" i="33" s="1"/>
  <c r="G108" i="33"/>
  <c r="G109" i="33" s="1"/>
  <c r="E131" i="33"/>
  <c r="D79" i="33"/>
  <c r="D9" i="33" s="1"/>
  <c r="D10" i="33" s="1"/>
  <c r="D120" i="33" s="1"/>
  <c r="E108" i="33"/>
  <c r="E109" i="33" s="1"/>
  <c r="I71" i="33"/>
  <c r="H72" i="33"/>
  <c r="H74" i="33" s="1"/>
  <c r="H83" i="33" s="1"/>
  <c r="Z11" i="33" l="1"/>
  <c r="Z12" i="33"/>
  <c r="K2" i="33"/>
  <c r="J16" i="33"/>
  <c r="J20" i="33" s="1"/>
  <c r="D80" i="33"/>
  <c r="B123" i="33" s="1"/>
  <c r="F131" i="33"/>
  <c r="E79" i="33"/>
  <c r="E9" i="33" s="1"/>
  <c r="J71" i="33"/>
  <c r="I72" i="33"/>
  <c r="I74" i="33" s="1"/>
  <c r="I83" i="33" s="1"/>
  <c r="D132" i="33" l="1"/>
  <c r="AA11" i="33"/>
  <c r="E10" i="33"/>
  <c r="E120" i="33" s="1"/>
  <c r="L2" i="33"/>
  <c r="K16" i="33"/>
  <c r="K20" i="33" s="1"/>
  <c r="E80" i="33"/>
  <c r="D82" i="33"/>
  <c r="D14" i="33" s="1"/>
  <c r="G131" i="33"/>
  <c r="F79" i="33"/>
  <c r="F9" i="33" s="1"/>
  <c r="K71" i="33"/>
  <c r="J72" i="33"/>
  <c r="J74" i="33" s="1"/>
  <c r="J83" i="33" s="1"/>
  <c r="E132" i="33" l="1"/>
  <c r="AA12" i="33"/>
  <c r="AB11" i="33"/>
  <c r="F10" i="33"/>
  <c r="M2" i="33"/>
  <c r="M16" i="33" s="1"/>
  <c r="M20" i="33" s="1"/>
  <c r="L16" i="33"/>
  <c r="L20" i="33" s="1"/>
  <c r="E82" i="33"/>
  <c r="E14" i="33" s="1"/>
  <c r="F80" i="33"/>
  <c r="H131" i="33"/>
  <c r="G79" i="33"/>
  <c r="G9" i="33" s="1"/>
  <c r="L71" i="33"/>
  <c r="K72" i="33"/>
  <c r="K74" i="33" s="1"/>
  <c r="K83" i="33" s="1"/>
  <c r="AB12" i="33" l="1"/>
  <c r="F120" i="33"/>
  <c r="F132" i="33"/>
  <c r="AC11" i="33"/>
  <c r="G10" i="33"/>
  <c r="F82" i="33"/>
  <c r="G80" i="33"/>
  <c r="I131" i="33"/>
  <c r="H79" i="33"/>
  <c r="H9" i="33" s="1"/>
  <c r="M71" i="33"/>
  <c r="M72" i="33" s="1"/>
  <c r="M74" i="33" s="1"/>
  <c r="M83" i="33" s="1"/>
  <c r="L72" i="33"/>
  <c r="L74" i="33" s="1"/>
  <c r="L83" i="33" s="1"/>
  <c r="AC12" i="33" l="1"/>
  <c r="G120" i="33"/>
  <c r="G132" i="33"/>
  <c r="F14" i="33"/>
  <c r="AD11" i="33"/>
  <c r="H10" i="33"/>
  <c r="G82" i="33"/>
  <c r="H80" i="33"/>
  <c r="J131" i="33"/>
  <c r="I79" i="33"/>
  <c r="I9" i="33" s="1"/>
  <c r="AD12" i="33" l="1"/>
  <c r="H120" i="33"/>
  <c r="H132" i="33"/>
  <c r="G14" i="33"/>
  <c r="AE11" i="33"/>
  <c r="I10" i="33"/>
  <c r="H82" i="33"/>
  <c r="I80" i="33"/>
  <c r="K131" i="33"/>
  <c r="J79" i="33"/>
  <c r="J9" i="33" s="1"/>
  <c r="AE12" i="33" l="1"/>
  <c r="I120" i="33"/>
  <c r="I132" i="33"/>
  <c r="H14" i="33"/>
  <c r="AF11" i="33"/>
  <c r="J10" i="33"/>
  <c r="I82" i="33"/>
  <c r="J80" i="33"/>
  <c r="L131" i="33"/>
  <c r="K79" i="33"/>
  <c r="K9" i="33" s="1"/>
  <c r="AF12" i="33" l="1"/>
  <c r="J120" i="33"/>
  <c r="J82" i="33"/>
  <c r="J14" i="33" s="1"/>
  <c r="I14" i="33"/>
  <c r="AG11" i="33"/>
  <c r="K10" i="33"/>
  <c r="J132" i="33"/>
  <c r="K80" i="33"/>
  <c r="M131" i="33"/>
  <c r="L79" i="33"/>
  <c r="L9" i="33" s="1"/>
  <c r="AG12" i="33" l="1"/>
  <c r="K120" i="33"/>
  <c r="K132" i="33"/>
  <c r="M79" i="33"/>
  <c r="M9" i="33" s="1"/>
  <c r="AI11" i="33" s="1"/>
  <c r="K82" i="33"/>
  <c r="AH11" i="33"/>
  <c r="L10" i="33"/>
  <c r="L80" i="33"/>
  <c r="AH12" i="33" l="1"/>
  <c r="L120" i="33"/>
  <c r="M10" i="33"/>
  <c r="AI12" i="33" s="1"/>
  <c r="L132" i="33"/>
  <c r="M80" i="33"/>
  <c r="K14" i="33"/>
  <c r="L82" i="33"/>
  <c r="D9" i="32"/>
  <c r="E9" i="32" s="1"/>
  <c r="F9" i="32" s="1"/>
  <c r="G9" i="32" s="1"/>
  <c r="H9" i="32" s="1"/>
  <c r="I9" i="32" s="1"/>
  <c r="J9" i="32" s="1"/>
  <c r="K9" i="32" s="1"/>
  <c r="L9" i="32" s="1"/>
  <c r="M9" i="32" s="1"/>
  <c r="D5" i="32"/>
  <c r="E5" i="32"/>
  <c r="F5" i="32"/>
  <c r="G5" i="32"/>
  <c r="H5" i="32"/>
  <c r="I5" i="32"/>
  <c r="J5" i="32"/>
  <c r="K5" i="32"/>
  <c r="L5" i="32"/>
  <c r="C5" i="32"/>
  <c r="N10" i="33" l="1"/>
  <c r="M132" i="33"/>
  <c r="M82" i="33"/>
  <c r="M14" i="33" s="1"/>
  <c r="D12" i="33"/>
  <c r="Z14" i="33" s="1"/>
  <c r="L14" i="33"/>
  <c r="L6" i="4"/>
  <c r="M118" i="33" l="1"/>
  <c r="D10" i="32"/>
  <c r="D11" i="32" s="1"/>
  <c r="D1" i="32"/>
  <c r="E1" i="32" s="1"/>
  <c r="F1" i="32" s="1"/>
  <c r="G1" i="32" s="1"/>
  <c r="H1" i="32" s="1"/>
  <c r="I1" i="32" s="1"/>
  <c r="J1" i="32" s="1"/>
  <c r="K1" i="32" s="1"/>
  <c r="L1" i="32" s="1"/>
  <c r="M1" i="32" s="1"/>
  <c r="M119" i="33" l="1"/>
  <c r="M120" i="33" s="1"/>
  <c r="B121" i="33" s="1"/>
  <c r="D16" i="32"/>
  <c r="D14" i="32"/>
  <c r="D15" i="32"/>
  <c r="D18" i="32" s="1"/>
  <c r="D12" i="32"/>
  <c r="D13" i="32" s="1"/>
  <c r="E10" i="32"/>
  <c r="B124" i="33" l="1"/>
  <c r="B125" i="33" s="1"/>
  <c r="B122" i="33"/>
  <c r="D19" i="32"/>
  <c r="E11" i="32"/>
  <c r="F10" i="32"/>
  <c r="D10" i="30"/>
  <c r="E10" i="30" s="1"/>
  <c r="F10" i="30" s="1"/>
  <c r="G10" i="30" s="1"/>
  <c r="H10" i="30" s="1"/>
  <c r="I10" i="30" s="1"/>
  <c r="J10" i="30" s="1"/>
  <c r="K10" i="30" s="1"/>
  <c r="B9" i="4"/>
  <c r="C60" i="2"/>
  <c r="D60" i="2"/>
  <c r="E60" i="2"/>
  <c r="F60" i="2"/>
  <c r="G60" i="2"/>
  <c r="H60" i="2"/>
  <c r="I60" i="2"/>
  <c r="J60" i="2"/>
  <c r="K60" i="2"/>
  <c r="B60" i="2"/>
  <c r="D59" i="2"/>
  <c r="C58" i="2"/>
  <c r="C59" i="2" s="1"/>
  <c r="D58" i="2"/>
  <c r="E58" i="2"/>
  <c r="E59" i="2" s="1"/>
  <c r="F58" i="2"/>
  <c r="F59" i="2" s="1"/>
  <c r="G58" i="2"/>
  <c r="G59" i="2" s="1"/>
  <c r="H58" i="2"/>
  <c r="H59" i="2" s="1"/>
  <c r="I58" i="2"/>
  <c r="I59" i="2" s="1"/>
  <c r="J58" i="2"/>
  <c r="J59" i="2" s="1"/>
  <c r="K58" i="2"/>
  <c r="K59" i="2" s="1"/>
  <c r="B58" i="2"/>
  <c r="B59" i="2" s="1"/>
  <c r="K9" i="1"/>
  <c r="D8" i="4"/>
  <c r="E8" i="4" s="1"/>
  <c r="F8" i="4" s="1"/>
  <c r="G8" i="4" s="1"/>
  <c r="H8" i="4" s="1"/>
  <c r="I8" i="4" s="1"/>
  <c r="J8" i="4" s="1"/>
  <c r="K8" i="4" s="1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E27" i="26"/>
  <c r="F27" i="26" s="1"/>
  <c r="G27" i="26" s="1"/>
  <c r="H27" i="26" s="1"/>
  <c r="I27" i="26" s="1"/>
  <c r="J27" i="26" s="1"/>
  <c r="K27" i="26" s="1"/>
  <c r="L27" i="26" s="1"/>
  <c r="C51" i="1"/>
  <c r="C52" i="1" s="1"/>
  <c r="D51" i="1"/>
  <c r="D52" i="1" s="1"/>
  <c r="E51" i="1"/>
  <c r="E52" i="1" s="1"/>
  <c r="F51" i="1"/>
  <c r="F52" i="1" s="1"/>
  <c r="G51" i="1"/>
  <c r="G52" i="1" s="1"/>
  <c r="H51" i="1"/>
  <c r="H52" i="1" s="1"/>
  <c r="I51" i="1"/>
  <c r="I52" i="1" s="1"/>
  <c r="J51" i="1"/>
  <c r="J52" i="1" s="1"/>
  <c r="K51" i="1"/>
  <c r="K52" i="1" s="1"/>
  <c r="B51" i="1"/>
  <c r="B52" i="1" s="1"/>
  <c r="E20" i="26"/>
  <c r="F20" i="26" s="1"/>
  <c r="G20" i="26" s="1"/>
  <c r="H20" i="26" s="1"/>
  <c r="I20" i="26" s="1"/>
  <c r="J20" i="26" s="1"/>
  <c r="K20" i="26" s="1"/>
  <c r="L20" i="26" s="1"/>
  <c r="C58" i="1"/>
  <c r="D58" i="1"/>
  <c r="E58" i="1"/>
  <c r="F58" i="1"/>
  <c r="G58" i="1"/>
  <c r="H58" i="1"/>
  <c r="I58" i="1"/>
  <c r="J58" i="1"/>
  <c r="K58" i="1"/>
  <c r="B58" i="1"/>
  <c r="C57" i="1"/>
  <c r="D57" i="1"/>
  <c r="E57" i="1"/>
  <c r="F57" i="1"/>
  <c r="G57" i="1"/>
  <c r="H57" i="1"/>
  <c r="I57" i="1"/>
  <c r="J57" i="1"/>
  <c r="K57" i="1"/>
  <c r="B57" i="1"/>
  <c r="C56" i="1"/>
  <c r="D56" i="1"/>
  <c r="E56" i="1"/>
  <c r="F56" i="1"/>
  <c r="G56" i="1"/>
  <c r="H56" i="1"/>
  <c r="I56" i="1"/>
  <c r="J56" i="1"/>
  <c r="K56" i="1"/>
  <c r="B56" i="1"/>
  <c r="C53" i="1"/>
  <c r="D53" i="1"/>
  <c r="E53" i="1"/>
  <c r="F53" i="1"/>
  <c r="G53" i="1"/>
  <c r="H53" i="1"/>
  <c r="I53" i="1"/>
  <c r="J53" i="1"/>
  <c r="K53" i="1"/>
  <c r="B53" i="1"/>
  <c r="C49" i="1"/>
  <c r="C50" i="1" s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B49" i="1"/>
  <c r="B50" i="1" s="1"/>
  <c r="E13" i="26"/>
  <c r="F13" i="26" s="1"/>
  <c r="G13" i="26" s="1"/>
  <c r="H13" i="26" s="1"/>
  <c r="I13" i="26" s="1"/>
  <c r="J13" i="26" s="1"/>
  <c r="K13" i="26" s="1"/>
  <c r="L13" i="26" s="1"/>
  <c r="C57" i="2"/>
  <c r="D57" i="2"/>
  <c r="E57" i="2"/>
  <c r="F57" i="2"/>
  <c r="G57" i="2"/>
  <c r="H57" i="2"/>
  <c r="I57" i="2"/>
  <c r="J57" i="2"/>
  <c r="K57" i="2"/>
  <c r="B57" i="2"/>
  <c r="E8" i="26"/>
  <c r="F8" i="26" s="1"/>
  <c r="G8" i="26" s="1"/>
  <c r="H8" i="26" s="1"/>
  <c r="I8" i="26" s="1"/>
  <c r="J8" i="26" s="1"/>
  <c r="K8" i="26" s="1"/>
  <c r="L8" i="26" s="1"/>
  <c r="B9" i="26"/>
  <c r="B10" i="26"/>
  <c r="B11" i="26"/>
  <c r="C55" i="2"/>
  <c r="D11" i="26" s="1"/>
  <c r="D55" i="2"/>
  <c r="E11" i="26" s="1"/>
  <c r="E55" i="2"/>
  <c r="F11" i="26" s="1"/>
  <c r="F55" i="2"/>
  <c r="G11" i="26" s="1"/>
  <c r="G55" i="2"/>
  <c r="H11" i="26" s="1"/>
  <c r="H55" i="2"/>
  <c r="I11" i="26" s="1"/>
  <c r="I55" i="2"/>
  <c r="J11" i="26" s="1"/>
  <c r="J55" i="2"/>
  <c r="K11" i="26" s="1"/>
  <c r="K55" i="2"/>
  <c r="L11" i="26" s="1"/>
  <c r="B55" i="2"/>
  <c r="C11" i="26" s="1"/>
  <c r="C54" i="2"/>
  <c r="D10" i="26" s="1"/>
  <c r="D54" i="2"/>
  <c r="E10" i="26" s="1"/>
  <c r="E54" i="2"/>
  <c r="F10" i="26" s="1"/>
  <c r="F54" i="2"/>
  <c r="G10" i="26" s="1"/>
  <c r="G54" i="2"/>
  <c r="H10" i="26" s="1"/>
  <c r="H54" i="2"/>
  <c r="I10" i="26" s="1"/>
  <c r="I54" i="2"/>
  <c r="J10" i="26" s="1"/>
  <c r="J54" i="2"/>
  <c r="K10" i="26" s="1"/>
  <c r="K54" i="2"/>
  <c r="L10" i="26" s="1"/>
  <c r="B54" i="2"/>
  <c r="C10" i="26" s="1"/>
  <c r="C53" i="2"/>
  <c r="D9" i="26" s="1"/>
  <c r="D53" i="2"/>
  <c r="E9" i="26" s="1"/>
  <c r="E53" i="2"/>
  <c r="F9" i="26" s="1"/>
  <c r="F53" i="2"/>
  <c r="G9" i="26" s="1"/>
  <c r="G53" i="2"/>
  <c r="H9" i="26" s="1"/>
  <c r="H53" i="2"/>
  <c r="I9" i="26" s="1"/>
  <c r="I53" i="2"/>
  <c r="J9" i="26" s="1"/>
  <c r="J53" i="2"/>
  <c r="K9" i="26" s="1"/>
  <c r="K53" i="2"/>
  <c r="L9" i="26" s="1"/>
  <c r="B53" i="2"/>
  <c r="C9" i="26" s="1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G17" i="5"/>
  <c r="H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B12" i="5"/>
  <c r="B13" i="5"/>
  <c r="B14" i="5"/>
  <c r="B15" i="5"/>
  <c r="B16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11" i="5"/>
  <c r="D7" i="5"/>
  <c r="E7" i="5" s="1"/>
  <c r="F7" i="5" s="1"/>
  <c r="G7" i="5" s="1"/>
  <c r="H7" i="5" s="1"/>
  <c r="I7" i="5" s="1"/>
  <c r="J7" i="5" s="1"/>
  <c r="K7" i="5" s="1"/>
  <c r="D10" i="2"/>
  <c r="E10" i="2" s="1"/>
  <c r="F10" i="2" s="1"/>
  <c r="G10" i="2" s="1"/>
  <c r="H10" i="2" s="1"/>
  <c r="I10" i="2" s="1"/>
  <c r="J10" i="2" s="1"/>
  <c r="K10" i="2" s="1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B13" i="4"/>
  <c r="B14" i="4"/>
  <c r="B16" i="4"/>
  <c r="B17" i="4"/>
  <c r="B18" i="4"/>
  <c r="B19" i="4"/>
  <c r="B20" i="4"/>
  <c r="B21" i="4"/>
  <c r="B22" i="4"/>
  <c r="B23" i="4"/>
  <c r="B24" i="4"/>
  <c r="B25" i="4"/>
  <c r="B26" i="4"/>
  <c r="D9" i="1"/>
  <c r="E9" i="1"/>
  <c r="F9" i="1"/>
  <c r="G9" i="1"/>
  <c r="H9" i="1"/>
  <c r="I9" i="1"/>
  <c r="J9" i="1"/>
  <c r="C9" i="1"/>
  <c r="D10" i="1"/>
  <c r="E10" i="1" s="1"/>
  <c r="F10" i="1" s="1"/>
  <c r="G10" i="1" s="1"/>
  <c r="H10" i="1" s="1"/>
  <c r="I10" i="1" s="1"/>
  <c r="J10" i="1" s="1"/>
  <c r="K10" i="1" s="1"/>
  <c r="E16" i="32" l="1"/>
  <c r="E14" i="32"/>
  <c r="L20" i="4"/>
  <c r="L18" i="4"/>
  <c r="L26" i="4"/>
  <c r="L14" i="4"/>
  <c r="E15" i="32"/>
  <c r="E18" i="32" s="1"/>
  <c r="E12" i="32"/>
  <c r="E13" i="32" s="1"/>
  <c r="G10" i="32"/>
  <c r="F11" i="32"/>
  <c r="L25" i="4"/>
  <c r="L17" i="4"/>
  <c r="L12" i="4"/>
  <c r="L11" i="4"/>
  <c r="L24" i="4"/>
  <c r="L23" i="4"/>
  <c r="L22" i="4"/>
  <c r="L15" i="4"/>
  <c r="L16" i="4"/>
  <c r="L13" i="4"/>
  <c r="L21" i="4"/>
  <c r="L10" i="4"/>
  <c r="L19" i="4"/>
  <c r="L9" i="4"/>
  <c r="L9" i="1"/>
  <c r="F16" i="32" l="1"/>
  <c r="F14" i="32"/>
  <c r="E19" i="32"/>
  <c r="F15" i="32"/>
  <c r="F18" i="32" s="1"/>
  <c r="F12" i="32"/>
  <c r="F13" i="32" s="1"/>
  <c r="G11" i="32"/>
  <c r="H10" i="32"/>
  <c r="G16" i="32" l="1"/>
  <c r="G14" i="32"/>
  <c r="F19" i="32"/>
  <c r="G15" i="32"/>
  <c r="G18" i="32" s="1"/>
  <c r="G12" i="32"/>
  <c r="H11" i="32"/>
  <c r="I10" i="32"/>
  <c r="G13" i="32"/>
  <c r="G19" i="32" s="1"/>
  <c r="H16" i="32" l="1"/>
  <c r="H14" i="32"/>
  <c r="H15" i="32"/>
  <c r="H18" i="32" s="1"/>
  <c r="H12" i="32"/>
  <c r="I11" i="32"/>
  <c r="J10" i="32"/>
  <c r="H13" i="32"/>
  <c r="H19" i="32" s="1"/>
  <c r="I16" i="32" l="1"/>
  <c r="I14" i="32"/>
  <c r="I12" i="32"/>
  <c r="I15" i="32"/>
  <c r="I18" i="32" s="1"/>
  <c r="J11" i="32"/>
  <c r="K10" i="32"/>
  <c r="I13" i="32"/>
  <c r="I19" i="32" s="1"/>
  <c r="J16" i="32" l="1"/>
  <c r="J14" i="32"/>
  <c r="J12" i="32"/>
  <c r="J15" i="32"/>
  <c r="J18" i="32" s="1"/>
  <c r="L10" i="32"/>
  <c r="K11" i="32"/>
  <c r="J13" i="32"/>
  <c r="J19" i="32" s="1"/>
  <c r="K16" i="32" l="1"/>
  <c r="K14" i="32"/>
  <c r="K12" i="32"/>
  <c r="K13" i="32" s="1"/>
  <c r="K19" i="32" s="1"/>
  <c r="K15" i="32"/>
  <c r="K18" i="32" s="1"/>
  <c r="L11" i="32"/>
  <c r="M10" i="32"/>
  <c r="M11" i="32" s="1"/>
  <c r="M16" i="32" l="1"/>
  <c r="M14" i="32"/>
  <c r="L16" i="32"/>
  <c r="L14" i="32"/>
  <c r="M12" i="32"/>
  <c r="M13" i="32" s="1"/>
  <c r="M15" i="32"/>
  <c r="L12" i="32"/>
  <c r="L13" i="32" s="1"/>
  <c r="L19" i="32" s="1"/>
  <c r="L15" i="32"/>
  <c r="L18" i="32" s="1"/>
  <c r="M18" i="32" l="1"/>
  <c r="M19" i="32" s="1"/>
  <c r="L68" i="2" l="1"/>
</calcChain>
</file>

<file path=xl/sharedStrings.xml><?xml version="1.0" encoding="utf-8"?>
<sst xmlns="http://schemas.openxmlformats.org/spreadsheetml/2006/main" count="1197" uniqueCount="332">
  <si>
    <t>Report Date</t>
  </si>
  <si>
    <t>01/01/2023</t>
  </si>
  <si>
    <t>01/02/2022</t>
  </si>
  <si>
    <t>01/03/2021</t>
  </si>
  <si>
    <t>12/29/2019</t>
  </si>
  <si>
    <t>12/30/2018</t>
  </si>
  <si>
    <t>12/31/2017</t>
  </si>
  <si>
    <t>01/01/2017</t>
  </si>
  <si>
    <t>01/03/2016</t>
  </si>
  <si>
    <t>12/28/2014</t>
  </si>
  <si>
    <t>12/29/2013</t>
  </si>
  <si>
    <t>Currency</t>
  </si>
  <si>
    <t>USD</t>
  </si>
  <si>
    <t>Scale</t>
  </si>
  <si>
    <t>Millions</t>
  </si>
  <si>
    <t>Sales Revenue</t>
  </si>
  <si>
    <t>Total Revenue</t>
  </si>
  <si>
    <t>Direct Costs</t>
  </si>
  <si>
    <t>Gross Profit</t>
  </si>
  <si>
    <t>Selling General &amp; Admin</t>
  </si>
  <si>
    <t>Research &amp; Development</t>
  </si>
  <si>
    <t>Restruct Remediation &amp; Impair</t>
  </si>
  <si>
    <t>-</t>
  </si>
  <si>
    <t>Other Operating Expense</t>
  </si>
  <si>
    <t>Total Indirect Operating Costs</t>
  </si>
  <si>
    <t>Operating Income</t>
  </si>
  <si>
    <t>Interest Income</t>
  </si>
  <si>
    <t>Other Non-Operating Income</t>
  </si>
  <si>
    <t>Total Non-Operating Income</t>
  </si>
  <si>
    <t>Earnings Before Tax</t>
  </si>
  <si>
    <t>Taxation</t>
  </si>
  <si>
    <t>Extraordinary Items</t>
  </si>
  <si>
    <t>Accounting Changes</t>
  </si>
  <si>
    <t>Net Income</t>
  </si>
  <si>
    <t>Preference Dividends &amp; Similar</t>
  </si>
  <si>
    <t>Net Income to Common</t>
  </si>
  <si>
    <t>Average Shares Basic</t>
  </si>
  <si>
    <t>EPS Net Basic</t>
  </si>
  <si>
    <t>EPS Continuing Basic</t>
  </si>
  <si>
    <t>Average Shares Diluted</t>
  </si>
  <si>
    <t>EPS Net Diluted</t>
  </si>
  <si>
    <t>EPS Continuing Diluted</t>
  </si>
  <si>
    <t>Shares Outstanding</t>
  </si>
  <si>
    <t>Cash &amp; Equivalents</t>
  </si>
  <si>
    <t>Short Term Investments</t>
  </si>
  <si>
    <t>Cash &amp; Equivs &amp; ST Investments</t>
  </si>
  <si>
    <t>Receivables (ST)</t>
  </si>
  <si>
    <t>Inventories</t>
  </si>
  <si>
    <t>Current Tax Assets</t>
  </si>
  <si>
    <t>Assets Held for Sale (ST)</t>
  </si>
  <si>
    <t>Other Current Assets</t>
  </si>
  <si>
    <t>Total Current Assets</t>
  </si>
  <si>
    <t>Gross Property Plant &amp; Equip</t>
  </si>
  <si>
    <t>Accumulated Depreciation</t>
  </si>
  <si>
    <t>Net Property Plant &amp; Equip</t>
  </si>
  <si>
    <t>Intangible Assets</t>
  </si>
  <si>
    <t>Deferred LT Assets</t>
  </si>
  <si>
    <t>Other Assets</t>
  </si>
  <si>
    <t>Total Assets</t>
  </si>
  <si>
    <t>Accounts Payable &amp; Accrued Exps</t>
  </si>
  <si>
    <t>Accounts Payable</t>
  </si>
  <si>
    <t>Accrued Expenses</t>
  </si>
  <si>
    <t>Current Debt</t>
  </si>
  <si>
    <t>Other Current Liabilities</t>
  </si>
  <si>
    <t>Total Current Liabilities</t>
  </si>
  <si>
    <t>LT Debt &amp; Leases</t>
  </si>
  <si>
    <t>Pensions &amp; OPEB</t>
  </si>
  <si>
    <t>Deferred LT Liabilities</t>
  </si>
  <si>
    <t>Minority Interests</t>
  </si>
  <si>
    <t>Other Liabilities</t>
  </si>
  <si>
    <t>Total Liabilities</t>
  </si>
  <si>
    <t>Common Share Capital</t>
  </si>
  <si>
    <t>Retained Earnings</t>
  </si>
  <si>
    <t>Accum Other Comprehensive Income</t>
  </si>
  <si>
    <t>Treasury Stock</t>
  </si>
  <si>
    <t>For Curr Trans (BS)</t>
  </si>
  <si>
    <t>Other Equity</t>
  </si>
  <si>
    <t>Total Equity</t>
  </si>
  <si>
    <t>Total Liabilities &amp; Equity</t>
  </si>
  <si>
    <t>Year</t>
    <phoneticPr fontId="4" type="noConversion"/>
  </si>
  <si>
    <t>Revenue growth</t>
    <phoneticPr fontId="4" type="noConversion"/>
  </si>
  <si>
    <t>/</t>
    <phoneticPr fontId="4" type="noConversion"/>
  </si>
  <si>
    <t>Direct Costs(Cost of Goods Sold (COGS))</t>
    <phoneticPr fontId="4" type="noConversion"/>
  </si>
  <si>
    <t>Restruct Remediation &amp; Impair</t>
    <phoneticPr fontId="4" type="noConversion"/>
  </si>
  <si>
    <t>Selling General &amp; Admin</t>
    <phoneticPr fontId="4" type="noConversion"/>
  </si>
  <si>
    <t>RATIOS</t>
    <phoneticPr fontId="4" type="noConversion"/>
  </si>
  <si>
    <t>Total Debt Ratio</t>
  </si>
  <si>
    <t>Total Debt Ratio</t>
    <phoneticPr fontId="4" type="noConversion"/>
  </si>
  <si>
    <t>Debt to Equity Ratio</t>
  </si>
  <si>
    <t>Debt to Equity Ratio</t>
    <phoneticPr fontId="4" type="noConversion"/>
  </si>
  <si>
    <t>Equity Multiplier Ratio</t>
  </si>
  <si>
    <t>Equity Multiplier Ratio</t>
    <phoneticPr fontId="4" type="noConversion"/>
  </si>
  <si>
    <t xml:space="preserve">Long-term Debt Ratio </t>
  </si>
  <si>
    <t xml:space="preserve">Long-term Debt Ratio </t>
    <phoneticPr fontId="4" type="noConversion"/>
  </si>
  <si>
    <t>Inventory Turnover</t>
  </si>
  <si>
    <t xml:space="preserve">Days’ Sales in Inventory </t>
  </si>
  <si>
    <t>Receivables Turnover</t>
  </si>
  <si>
    <t>Days’ Sales in Receivables</t>
  </si>
  <si>
    <t>Profit Margin</t>
  </si>
  <si>
    <t>Return on Assets</t>
  </si>
  <si>
    <t>Return on Equity</t>
  </si>
  <si>
    <t>Fixed Asset Turnover</t>
  </si>
  <si>
    <t xml:space="preserve">Cash Coverage </t>
  </si>
  <si>
    <t>Times Interest Earned(need to use 10-k to find interest expenses instead of interest income)</t>
    <phoneticPr fontId="4" type="noConversion"/>
  </si>
  <si>
    <t>Accumulated Depreciation</t>
    <phoneticPr fontId="4" type="noConversion"/>
  </si>
  <si>
    <t>EBIDTA Margin(depreciation in 10-k)</t>
    <phoneticPr fontId="4" type="noConversion"/>
  </si>
  <si>
    <t>Receivables Turnover</t>
    <phoneticPr fontId="4" type="noConversion"/>
  </si>
  <si>
    <t>Powered by Clearbit</t>
  </si>
  <si>
    <t>Johnson &amp; Johnson   (NYS: JNJ)</t>
  </si>
  <si>
    <t xml:space="preserve">Exchange rate used is that of the Year End reported date </t>
  </si>
  <si>
    <t>Average Growth</t>
  </si>
  <si>
    <t>Average</t>
  </si>
  <si>
    <t>Current ratio</t>
  </si>
  <si>
    <t>Quick ratio</t>
  </si>
  <si>
    <t>Cash ratio</t>
  </si>
  <si>
    <t>Year</t>
  </si>
  <si>
    <t>Audit Status</t>
  </si>
  <si>
    <t>Not Qualified</t>
  </si>
  <si>
    <t>Consolidated</t>
  </si>
  <si>
    <t>Yes</t>
  </si>
  <si>
    <t>Adjustments from Inc to Cash</t>
  </si>
  <si>
    <t>Change in Working Capital</t>
  </si>
  <si>
    <t>Cash Flow from Operations</t>
  </si>
  <si>
    <t>Purchase of Pty Plant &amp; Equip</t>
  </si>
  <si>
    <t>Purchase of Investments</t>
  </si>
  <si>
    <t>Disposal of Investments</t>
  </si>
  <si>
    <t>Change in Business Activities</t>
  </si>
  <si>
    <t>Other Investing Cash Flows</t>
  </si>
  <si>
    <t>Cash Flow from Investing</t>
  </si>
  <si>
    <t>Change in ST Debt</t>
  </si>
  <si>
    <t>Change in LT Debt</t>
  </si>
  <si>
    <t>Change in Equity</t>
  </si>
  <si>
    <t>Payment of Dividends</t>
  </si>
  <si>
    <t>Other Financing Cash Flows</t>
  </si>
  <si>
    <t>Cash Flow from Financing</t>
  </si>
  <si>
    <t>Effect of Exchange Rate</t>
  </si>
  <si>
    <t>Change in Cash</t>
  </si>
  <si>
    <t>Opening Cash</t>
  </si>
  <si>
    <t>Closing Cash</t>
  </si>
  <si>
    <t>Depn &amp; Amortn (CF)</t>
  </si>
  <si>
    <t>Net Purch of Pty Plant &amp; Equip</t>
  </si>
  <si>
    <t>Direct Costs(Cost of Goods Sold (COGS))</t>
  </si>
  <si>
    <t>sales revenue growth</t>
    <phoneticPr fontId="4" type="noConversion"/>
  </si>
  <si>
    <t>Direct Cost</t>
    <phoneticPr fontId="4" type="noConversion"/>
  </si>
  <si>
    <t>Revenue growth</t>
  </si>
  <si>
    <t>Inflation</t>
    <phoneticPr fontId="4" type="noConversion"/>
  </si>
  <si>
    <t>External Factors</t>
  </si>
  <si>
    <t>Risk Free Rate</t>
  </si>
  <si>
    <t>Market risk premium</t>
  </si>
  <si>
    <t>Interest rate on debt (cost of debt)</t>
  </si>
  <si>
    <t>Annual sales growth</t>
  </si>
  <si>
    <t>Cost of equity</t>
  </si>
  <si>
    <t>Capital Structure (% debt)</t>
  </si>
  <si>
    <t>WACC (discount rate)</t>
  </si>
  <si>
    <t>Perpetual CF growth</t>
  </si>
  <si>
    <t>Perpetual discount</t>
  </si>
  <si>
    <t>Payout and financing</t>
  </si>
  <si>
    <t>Debt portion to fin operations</t>
  </si>
  <si>
    <t>Payout ratio</t>
  </si>
  <si>
    <t>Parameter Estimates</t>
  </si>
  <si>
    <t>COGS/Sales</t>
  </si>
  <si>
    <t>RD/Sales</t>
  </si>
  <si>
    <t>SGA/Sales</t>
  </si>
  <si>
    <t>Depreciation/Fixed Assets</t>
  </si>
  <si>
    <t>Tax rate</t>
  </si>
  <si>
    <t>Cash/Sales</t>
  </si>
  <si>
    <t>Other Assets/Sales</t>
  </si>
  <si>
    <t>Beta</t>
  </si>
  <si>
    <t>Fixed Assets/Sales</t>
  </si>
  <si>
    <t>AP. Acr Exp etc/Sales</t>
  </si>
  <si>
    <t>AR/Sales</t>
  </si>
  <si>
    <t>Number of shares</t>
  </si>
  <si>
    <t>Other Non-Operating Exp</t>
  </si>
  <si>
    <t>Total Non-Operating Exp</t>
  </si>
  <si>
    <t>Earnings Before Tax (EBT)</t>
  </si>
  <si>
    <t>Interest Income</t>
    <phoneticPr fontId="4" type="noConversion"/>
  </si>
  <si>
    <t>Income statement</t>
    <phoneticPr fontId="4" type="noConversion"/>
  </si>
  <si>
    <t>Balance sheet</t>
    <phoneticPr fontId="4" type="noConversion"/>
  </si>
  <si>
    <t>Fixed assets/sales</t>
    <phoneticPr fontId="4" type="noConversion"/>
  </si>
  <si>
    <t>Current assets/sales</t>
    <phoneticPr fontId="4" type="noConversion"/>
  </si>
  <si>
    <t>cash/sales</t>
    <phoneticPr fontId="4" type="noConversion"/>
  </si>
  <si>
    <t>Other assets/sales</t>
    <phoneticPr fontId="4" type="noConversion"/>
  </si>
  <si>
    <t>Depreciation</t>
  </si>
  <si>
    <t>Depreciation</t>
    <phoneticPr fontId="4" type="noConversion"/>
  </si>
  <si>
    <t>ST investment/sales</t>
    <phoneticPr fontId="4" type="noConversion"/>
  </si>
  <si>
    <t>depreciation/FA</t>
    <phoneticPr fontId="4" type="noConversion"/>
  </si>
  <si>
    <t>Investment Module</t>
  </si>
  <si>
    <t>Current Asset Investment</t>
  </si>
  <si>
    <t>Investment in new Fixed Assets</t>
  </si>
  <si>
    <t>Replacement of Depreciated Assets</t>
  </si>
  <si>
    <t>Fixed Asset Investment</t>
  </si>
  <si>
    <t>Total Investment</t>
  </si>
  <si>
    <t>Financiang Module</t>
  </si>
  <si>
    <t>Required financing</t>
  </si>
  <si>
    <t>Sources of funds:</t>
  </si>
  <si>
    <t>Net income</t>
  </si>
  <si>
    <t>Earnings CF</t>
  </si>
  <si>
    <t>Minimum Dividend</t>
  </si>
  <si>
    <t>Internal Financing</t>
  </si>
  <si>
    <t>Spontaneous Financiang (CL)</t>
  </si>
  <si>
    <t>Total int and spont financing</t>
  </si>
  <si>
    <t>Required external financing</t>
  </si>
  <si>
    <t>Debt issued</t>
  </si>
  <si>
    <t>Equity issued</t>
  </si>
  <si>
    <t>Total discretionary financing</t>
  </si>
  <si>
    <t>Total financing</t>
  </si>
  <si>
    <t>Year in the Future</t>
  </si>
  <si>
    <t>Operating CF</t>
  </si>
  <si>
    <t>Net CAPEX</t>
  </si>
  <si>
    <t>Net NWC</t>
  </si>
  <si>
    <t>Interest expense</t>
  </si>
  <si>
    <t>Total Interest bearing debt</t>
  </si>
  <si>
    <t>Total debt</t>
  </si>
  <si>
    <t>Tax rate</t>
    <phoneticPr fontId="4" type="noConversion"/>
  </si>
  <si>
    <t>AR/sales</t>
    <phoneticPr fontId="4" type="noConversion"/>
  </si>
  <si>
    <t>inventories/sales</t>
    <phoneticPr fontId="4" type="noConversion"/>
  </si>
  <si>
    <t>Other Cur Assets</t>
    <phoneticPr fontId="4" type="noConversion"/>
  </si>
  <si>
    <t>Other Cur Asstets/sales</t>
    <phoneticPr fontId="4" type="noConversion"/>
  </si>
  <si>
    <t>AP, Accr Exp, etc</t>
  </si>
  <si>
    <t>Intangible Assets</t>
    <phoneticPr fontId="4" type="noConversion"/>
  </si>
  <si>
    <t>LT Debt &amp; Leases &amp; Other long</t>
  </si>
  <si>
    <t>Enterprise Value</t>
  </si>
  <si>
    <t>EV/share</t>
  </si>
  <si>
    <t>Net Debt</t>
  </si>
  <si>
    <t>Equity Value</t>
  </si>
  <si>
    <t>Interest and Debt Service</t>
  </si>
  <si>
    <t>Market Cap</t>
  </si>
  <si>
    <t>AP. Acr Exp etc/Sales</t>
    <phoneticPr fontId="4" type="noConversion"/>
  </si>
  <si>
    <t>Date</t>
  </si>
  <si>
    <t>Adj Close of S&amp;P</t>
  </si>
  <si>
    <t xml:space="preserve">Return of S&amp;P </t>
  </si>
  <si>
    <t>Rf</t>
  </si>
  <si>
    <t>Excess Return of S&amp;P</t>
    <phoneticPr fontId="22" type="noConversion"/>
  </si>
  <si>
    <t>Adj Close</t>
    <phoneticPr fontId="4" type="noConversion"/>
  </si>
  <si>
    <t>Excess Return of JnJ</t>
    <phoneticPr fontId="4" type="noConversion"/>
  </si>
  <si>
    <t>return of jnj</t>
    <phoneticPr fontId="4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</si>
  <si>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</si>
  <si>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</si>
  <si>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</si>
  <si>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</si>
  <si>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</si>
  <si>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</si>
  <si>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</si>
  <si>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</si>
  <si>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</si>
  <si>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</si>
  <si>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</si>
  <si>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</si>
  <si>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</si>
  <si>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</si>
  <si>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</si>
  <si>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</si>
  <si>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</si>
  <si>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</si>
  <si>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</si>
  <si>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</si>
  <si>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</si>
  <si>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</si>
  <si>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</si>
  <si>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</si>
  <si>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</si>
  <si>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</si>
  <si>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</si>
  <si>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</si>
  <si>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</si>
  <si>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</si>
  <si>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</si>
  <si>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</si>
  <si>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</si>
  <si>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</si>
  <si>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</si>
  <si>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</si>
  <si>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ROIC</t>
  </si>
  <si>
    <t>Consumer</t>
  </si>
  <si>
    <t>Pharmaceutical</t>
  </si>
  <si>
    <t>Medical Devices and Diagnostics</t>
  </si>
  <si>
    <t>Annual Sales Growth</t>
  </si>
  <si>
    <t>Sales Growth</t>
  </si>
  <si>
    <t>Terminal Value</t>
  </si>
  <si>
    <t>Present Value of Free Cash Flow</t>
  </si>
  <si>
    <t>Projected Stock Price</t>
  </si>
  <si>
    <t>Unlevered Free Cash Flow</t>
  </si>
  <si>
    <t>Fiscal Year</t>
  </si>
  <si>
    <t>Shares outstanding</t>
  </si>
  <si>
    <t xml:space="preserve">NET INCOME </t>
  </si>
  <si>
    <t>NET INCOME (last)</t>
  </si>
  <si>
    <t>EBITDA</t>
  </si>
  <si>
    <t>SALES</t>
  </si>
  <si>
    <t>BOOK VALUE (EQUITY)</t>
  </si>
  <si>
    <t>P/E (forward or last earnings)</t>
  </si>
  <si>
    <t>EBITDA multiplier</t>
  </si>
  <si>
    <t>Sales multiplier</t>
  </si>
  <si>
    <t>Book Value multiplier</t>
  </si>
  <si>
    <t>Cap Based on AVG</t>
  </si>
  <si>
    <t>JNJ</t>
  </si>
  <si>
    <t>Revenue growth - JNJ</t>
  </si>
  <si>
    <t>Year</t>
    <phoneticPr fontId="6" type="noConversion"/>
  </si>
  <si>
    <t>Direct Costs(Cost of Goods Sold (COGS))</t>
    <phoneticPr fontId="6" type="noConversion"/>
  </si>
  <si>
    <t>Account Receivable(in 10-k)</t>
  </si>
  <si>
    <t>Times Interest Earned(need to use 10-k to find interest expenses instead of interest income)</t>
    <phoneticPr fontId="6" type="noConversion"/>
  </si>
  <si>
    <t>Receivables Turnover</t>
    <phoneticPr fontId="6" type="noConversion"/>
  </si>
  <si>
    <t>EBIDTA Margin(depreciation in 10-k)</t>
    <phoneticPr fontId="6" type="noConversion"/>
  </si>
  <si>
    <t>Revenue growth - Eli Lilly</t>
  </si>
  <si>
    <t>Revenue growth - Merck</t>
  </si>
  <si>
    <t>Revenue growth - Pfizer</t>
  </si>
  <si>
    <t>Revenue growth/ Sales Growth - JNJ</t>
  </si>
  <si>
    <t>Thousands</t>
  </si>
  <si>
    <t>Pfizer Inc (NYS: PFE)</t>
  </si>
  <si>
    <t>12/31/2013</t>
  </si>
  <si>
    <t>12/31/2014</t>
  </si>
  <si>
    <t>12/31/2015</t>
  </si>
  <si>
    <t>12/31/2016</t>
  </si>
  <si>
    <t>12/31/2018</t>
  </si>
  <si>
    <t>12/31/2019</t>
  </si>
  <si>
    <t>12/31/2020</t>
  </si>
  <si>
    <t>12/31/2021</t>
  </si>
  <si>
    <t>12/31/2022</t>
  </si>
  <si>
    <t>Depreciation &amp; Amortization</t>
  </si>
  <si>
    <t>Gains on Sale of Assets</t>
  </si>
  <si>
    <t>Discontinued Operations</t>
  </si>
  <si>
    <t>Merck &amp; Co Inc (NYS: MRK)</t>
  </si>
  <si>
    <t>Foreign Exchange Gains</t>
  </si>
  <si>
    <t>Equity Earnings</t>
  </si>
  <si>
    <t>Lilly (Eli) &amp; Co (NYS: LLY)</t>
  </si>
  <si>
    <t>Earnings After Tax</t>
  </si>
  <si>
    <t>Pfizer</t>
  </si>
  <si>
    <t>Merck</t>
  </si>
  <si>
    <t>Eli Lilly</t>
  </si>
  <si>
    <t>Price Per Share</t>
  </si>
  <si>
    <t>12.30.2022</t>
  </si>
  <si>
    <t>Relative Valuation Method</t>
  </si>
  <si>
    <t>Average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</si>
</sst>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_ "/>
    <numFmt numFmtId="167" formatCode="0.0%"/>
    <numFmt numFmtId="168" formatCode="&quot;$&quot;#,##0.00"/>
    <numFmt numFmtId="169" formatCode="0.00_);[Red]\(0.00\)"/>
    <numFmt numFmtId="170" formatCode="0_ "/>
    <numFmt numFmtId="171" formatCode="#,##0.00_ "/>
    <numFmt numFmtId="172" formatCode="0.0_ "/>
    <numFmt numFmtId="173" formatCode="&quot;$&quot;#,##0"/>
  </numFmts>
  <fonts count="32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0"/>
      <color indexed="57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5" tint="-0.249977111117893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4"/>
      <color rgb="FF00000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9" fontId="8" fillId="0" borderId="0" applyFont="0" applyFill="0" applyBorder="0" applyAlignment="0" applyProtection="0"/>
    <xf numFmtId="0" fontId="21" fillId="0" borderId="0">
      <alignment vertical="center"/>
    </xf>
    <xf numFmtId="0" fontId="14" fillId="0" borderId="0" applyFill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3" fillId="0" borderId="0" xfId="0" applyFont="1" applyAlignment="1">
      <alignment horizontal="left"/>
    </xf>
    <xf numFmtId="166" fontId="0" fillId="0" borderId="0" xfId="0" applyNumberFormat="1"/>
    <xf numFmtId="0" fontId="5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3" fillId="0" borderId="0" xfId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16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0" fontId="0" fillId="0" borderId="0" xfId="0" applyNumberFormat="1" applyAlignment="1">
      <alignment horizontal="center"/>
    </xf>
    <xf numFmtId="10" fontId="2" fillId="0" borderId="0" xfId="0" applyNumberFormat="1" applyFont="1"/>
    <xf numFmtId="9" fontId="2" fillId="0" borderId="0" xfId="0" applyNumberFormat="1" applyFont="1"/>
    <xf numFmtId="169" fontId="0" fillId="0" borderId="0" xfId="0" applyNumberFormat="1"/>
    <xf numFmtId="0" fontId="0" fillId="2" borderId="0" xfId="0" applyFill="1"/>
    <xf numFmtId="0" fontId="9" fillId="2" borderId="2" xfId="0" applyFont="1" applyFill="1" applyBorder="1"/>
    <xf numFmtId="0" fontId="10" fillId="2" borderId="0" xfId="0" applyFont="1" applyFill="1"/>
    <xf numFmtId="166" fontId="10" fillId="2" borderId="0" xfId="0" applyNumberFormat="1" applyFont="1" applyFill="1"/>
    <xf numFmtId="0" fontId="10" fillId="2" borderId="1" xfId="0" applyFont="1" applyFill="1" applyBorder="1"/>
    <xf numFmtId="166" fontId="10" fillId="2" borderId="1" xfId="0" applyNumberFormat="1" applyFont="1" applyFill="1" applyBorder="1"/>
    <xf numFmtId="167" fontId="10" fillId="2" borderId="0" xfId="0" applyNumberFormat="1" applyFont="1" applyFill="1"/>
    <xf numFmtId="167" fontId="10" fillId="2" borderId="1" xfId="0" applyNumberFormat="1" applyFont="1" applyFill="1" applyBorder="1"/>
    <xf numFmtId="168" fontId="3" fillId="0" borderId="0" xfId="0" applyNumberFormat="1" applyFont="1"/>
    <xf numFmtId="0" fontId="0" fillId="0" borderId="0" xfId="0" applyAlignment="1">
      <alignment horizontal="right"/>
    </xf>
    <xf numFmtId="10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right" vertical="top"/>
    </xf>
    <xf numFmtId="170" fontId="0" fillId="0" borderId="0" xfId="0" applyNumberFormat="1" applyAlignment="1">
      <alignment horizontal="right" vertical="top"/>
    </xf>
    <xf numFmtId="10" fontId="0" fillId="2" borderId="0" xfId="0" applyNumberFormat="1" applyFill="1"/>
    <xf numFmtId="0" fontId="11" fillId="0" borderId="2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1" xfId="0" applyFont="1" applyBorder="1"/>
    <xf numFmtId="0" fontId="11" fillId="0" borderId="1" xfId="0" applyFont="1" applyBorder="1"/>
    <xf numFmtId="0" fontId="17" fillId="0" borderId="0" xfId="0" applyFont="1"/>
    <xf numFmtId="168" fontId="0" fillId="0" borderId="0" xfId="0" applyNumberFormat="1" applyAlignment="1">
      <alignment horizontal="left"/>
    </xf>
    <xf numFmtId="171" fontId="2" fillId="0" borderId="0" xfId="0" applyNumberFormat="1" applyFont="1"/>
    <xf numFmtId="171" fontId="2" fillId="0" borderId="0" xfId="0" applyNumberFormat="1" applyFont="1" applyAlignment="1">
      <alignment horizontal="left"/>
    </xf>
    <xf numFmtId="0" fontId="1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12" fillId="0" borderId="0" xfId="0" applyNumberFormat="1" applyFont="1"/>
    <xf numFmtId="10" fontId="12" fillId="0" borderId="0" xfId="0" applyNumberFormat="1" applyFont="1"/>
    <xf numFmtId="10" fontId="0" fillId="0" borderId="0" xfId="3" applyNumberFormat="1" applyFont="1"/>
    <xf numFmtId="167" fontId="0" fillId="0" borderId="0" xfId="3" applyNumberFormat="1" applyFont="1"/>
    <xf numFmtId="172" fontId="0" fillId="0" borderId="0" xfId="0" applyNumberFormat="1"/>
    <xf numFmtId="0" fontId="2" fillId="0" borderId="0" xfId="1" applyFont="1"/>
    <xf numFmtId="0" fontId="2" fillId="0" borderId="0" xfId="1" applyFont="1" applyAlignment="1">
      <alignment horizontal="right"/>
    </xf>
    <xf numFmtId="172" fontId="3" fillId="0" borderId="0" xfId="0" applyNumberFormat="1" applyFont="1"/>
    <xf numFmtId="0" fontId="21" fillId="0" borderId="0" xfId="4">
      <alignment vertical="center"/>
    </xf>
    <xf numFmtId="14" fontId="21" fillId="0" borderId="0" xfId="4" applyNumberFormat="1">
      <alignment vertical="center"/>
    </xf>
    <xf numFmtId="11" fontId="21" fillId="0" borderId="0" xfId="4" applyNumberFormat="1">
      <alignment vertical="center"/>
    </xf>
    <xf numFmtId="0" fontId="23" fillId="0" borderId="0" xfId="0" applyFont="1" applyAlignment="1">
      <alignment vertic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12" fillId="3" borderId="0" xfId="0" applyFont="1" applyFill="1"/>
    <xf numFmtId="166" fontId="2" fillId="3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0" fillId="3" borderId="0" xfId="0" applyFill="1"/>
    <xf numFmtId="10" fontId="0" fillId="3" borderId="0" xfId="3" applyNumberFormat="1" applyFont="1" applyFill="1"/>
    <xf numFmtId="0" fontId="16" fillId="3" borderId="0" xfId="0" applyFont="1" applyFill="1"/>
    <xf numFmtId="10" fontId="0" fillId="3" borderId="0" xfId="0" applyNumberFormat="1" applyFill="1"/>
    <xf numFmtId="173" fontId="0" fillId="0" borderId="0" xfId="0" applyNumberFormat="1"/>
    <xf numFmtId="1" fontId="2" fillId="0" borderId="0" xfId="0" applyNumberFormat="1" applyFont="1"/>
    <xf numFmtId="10" fontId="3" fillId="0" borderId="0" xfId="0" applyNumberFormat="1" applyFont="1"/>
    <xf numFmtId="0" fontId="3" fillId="3" borderId="0" xfId="0" applyFont="1" applyFill="1"/>
    <xf numFmtId="0" fontId="0" fillId="5" borderId="0" xfId="0" applyFill="1"/>
    <xf numFmtId="4" fontId="0" fillId="0" borderId="0" xfId="0" applyNumberFormat="1"/>
    <xf numFmtId="0" fontId="3" fillId="2" borderId="0" xfId="0" applyFont="1" applyFill="1"/>
    <xf numFmtId="168" fontId="3" fillId="2" borderId="0" xfId="0" applyNumberFormat="1" applyFont="1" applyFill="1"/>
    <xf numFmtId="168" fontId="0" fillId="2" borderId="0" xfId="0" applyNumberFormat="1" applyFill="1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0" fontId="28" fillId="6" borderId="0" xfId="0" applyFont="1" applyFill="1" applyAlignment="1">
      <alignment horizontal="left" vertical="center"/>
    </xf>
    <xf numFmtId="0" fontId="28" fillId="6" borderId="0" xfId="0" applyFont="1" applyFill="1" applyAlignment="1">
      <alignment horizontal="center" vertical="center"/>
    </xf>
    <xf numFmtId="0" fontId="29" fillId="6" borderId="0" xfId="0" applyFont="1" applyFill="1"/>
    <xf numFmtId="0" fontId="30" fillId="2" borderId="0" xfId="0" applyFont="1" applyFill="1"/>
    <xf numFmtId="0" fontId="26" fillId="2" borderId="0" xfId="0" applyFont="1" applyFill="1"/>
    <xf numFmtId="168" fontId="26" fillId="2" borderId="0" xfId="0" applyNumberFormat="1" applyFont="1" applyFill="1"/>
    <xf numFmtId="1" fontId="26" fillId="2" borderId="0" xfId="0" applyNumberFormat="1" applyFont="1" applyFill="1"/>
    <xf numFmtId="0" fontId="30" fillId="7" borderId="0" xfId="0" applyFont="1" applyFill="1"/>
    <xf numFmtId="168" fontId="26" fillId="7" borderId="0" xfId="0" applyNumberFormat="1" applyFont="1" applyFill="1"/>
    <xf numFmtId="2" fontId="26" fillId="2" borderId="0" xfId="3" applyNumberFormat="1" applyFont="1" applyFill="1" applyBorder="1"/>
    <xf numFmtId="0" fontId="26" fillId="7" borderId="0" xfId="0" applyFont="1" applyFill="1"/>
    <xf numFmtId="0" fontId="14" fillId="0" borderId="0" xfId="5" applyFill="1"/>
    <xf numFmtId="0" fontId="11" fillId="0" borderId="0" xfId="5" applyFont="1" applyFill="1" applyAlignment="1">
      <alignment horizontal="center"/>
    </xf>
    <xf numFmtId="0" fontId="11" fillId="0" borderId="0" xfId="5" applyFont="1" applyFill="1"/>
    <xf numFmtId="44" fontId="14" fillId="0" borderId="0" xfId="5" applyNumberFormat="1" applyFill="1"/>
    <xf numFmtId="0" fontId="13" fillId="0" borderId="0" xfId="1" applyFont="1"/>
    <xf numFmtId="10" fontId="13" fillId="0" borderId="0" xfId="1" applyNumberFormat="1" applyFont="1"/>
    <xf numFmtId="10" fontId="13" fillId="0" borderId="0" xfId="1" applyNumberFormat="1" applyFont="1" applyAlignment="1">
      <alignment horizont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right" vertical="top" wrapText="1"/>
    </xf>
    <xf numFmtId="0" fontId="3" fillId="0" borderId="0" xfId="1" applyAlignment="1">
      <alignment horizontal="left"/>
    </xf>
    <xf numFmtId="168" fontId="3" fillId="0" borderId="0" xfId="1" applyNumberFormat="1"/>
    <xf numFmtId="0" fontId="2" fillId="0" borderId="0" xfId="1" applyFont="1" applyAlignment="1">
      <alignment horizontal="left"/>
    </xf>
    <xf numFmtId="168" fontId="2" fillId="0" borderId="0" xfId="1" applyNumberFormat="1" applyFont="1"/>
    <xf numFmtId="168" fontId="3" fillId="0" borderId="0" xfId="1" applyNumberFormat="1" applyAlignment="1">
      <alignment horizontal="right"/>
    </xf>
    <xf numFmtId="0" fontId="5" fillId="0" borderId="0" xfId="1" applyFont="1" applyAlignment="1">
      <alignment horizontal="left"/>
    </xf>
    <xf numFmtId="1" fontId="3" fillId="0" borderId="0" xfId="1" applyNumberFormat="1"/>
    <xf numFmtId="164" fontId="3" fillId="0" borderId="0" xfId="1" applyNumberFormat="1"/>
    <xf numFmtId="2" fontId="3" fillId="0" borderId="0" xfId="1" applyNumberFormat="1"/>
    <xf numFmtId="165" fontId="3" fillId="0" borderId="0" xfId="1" applyNumberFormat="1"/>
    <xf numFmtId="0" fontId="5" fillId="0" borderId="0" xfId="1" applyFont="1"/>
    <xf numFmtId="166" fontId="5" fillId="0" borderId="0" xfId="1" applyNumberFormat="1" applyFont="1"/>
    <xf numFmtId="166" fontId="3" fillId="0" borderId="0" xfId="1" applyNumberFormat="1"/>
    <xf numFmtId="10" fontId="3" fillId="0" borderId="0" xfId="1" applyNumberFormat="1"/>
    <xf numFmtId="0" fontId="3" fillId="8" borderId="0" xfId="1" applyFill="1"/>
    <xf numFmtId="10" fontId="3" fillId="0" borderId="0" xfId="8" applyNumberFormat="1" applyFont="1"/>
    <xf numFmtId="10" fontId="0" fillId="0" borderId="0" xfId="8" applyNumberFormat="1" applyFont="1"/>
    <xf numFmtId="0" fontId="3" fillId="3" borderId="0" xfId="1" applyFill="1"/>
    <xf numFmtId="10" fontId="3" fillId="3" borderId="0" xfId="1" applyNumberFormat="1" applyFill="1"/>
    <xf numFmtId="10" fontId="2" fillId="3" borderId="0" xfId="1" applyNumberFormat="1" applyFont="1" applyFill="1" applyAlignment="1">
      <alignment horizontal="center"/>
    </xf>
    <xf numFmtId="14" fontId="2" fillId="0" borderId="0" xfId="1" applyNumberFormat="1" applyFont="1" applyAlignment="1">
      <alignment horizontal="right" vertical="top" wrapText="1"/>
    </xf>
    <xf numFmtId="168" fontId="2" fillId="0" borderId="0" xfId="1" applyNumberFormat="1" applyFont="1" applyAlignment="1">
      <alignment horizontal="left"/>
    </xf>
    <xf numFmtId="0" fontId="2" fillId="0" borderId="0" xfId="1" applyFont="1" applyAlignment="1">
      <alignment vertical="top" wrapText="1"/>
    </xf>
    <xf numFmtId="1" fontId="2" fillId="0" borderId="0" xfId="1" applyNumberFormat="1" applyFont="1"/>
    <xf numFmtId="0" fontId="25" fillId="6" borderId="0" xfId="5" applyFont="1" applyFill="1" applyAlignment="1">
      <alignment horizontal="center"/>
    </xf>
    <xf numFmtId="0" fontId="11" fillId="2" borderId="0" xfId="5" applyFont="1" applyFill="1" applyAlignment="1">
      <alignment horizontal="center"/>
    </xf>
    <xf numFmtId="0" fontId="24" fillId="2" borderId="0" xfId="5" applyFont="1" applyFill="1" applyAlignment="1">
      <alignment horizontal="left"/>
    </xf>
    <xf numFmtId="0" fontId="24" fillId="2" borderId="0" xfId="5" applyFont="1" applyFill="1" applyAlignment="1">
      <alignment horizontal="center"/>
    </xf>
    <xf numFmtId="0" fontId="11" fillId="2" borderId="0" xfId="5" applyFont="1" applyFill="1"/>
    <xf numFmtId="0" fontId="24" fillId="2" borderId="0" xfId="5" applyFont="1" applyFill="1"/>
    <xf numFmtId="168" fontId="24" fillId="2" borderId="0" xfId="6" applyNumberFormat="1" applyFont="1" applyFill="1" applyBorder="1"/>
    <xf numFmtId="0" fontId="14" fillId="2" borderId="0" xfId="5" applyFill="1"/>
    <xf numFmtId="168" fontId="24" fillId="2" borderId="0" xfId="7" applyNumberFormat="1" applyFont="1" applyFill="1" applyBorder="1"/>
    <xf numFmtId="168" fontId="24" fillId="2" borderId="0" xfId="5" applyNumberFormat="1" applyFont="1" applyFill="1"/>
    <xf numFmtId="2" fontId="24" fillId="2" borderId="0" xfId="5" applyNumberFormat="1" applyFont="1" applyFill="1"/>
    <xf numFmtId="2" fontId="11" fillId="2" borderId="0" xfId="5" applyNumberFormat="1" applyFont="1" applyFill="1"/>
    <xf numFmtId="0" fontId="31" fillId="2" borderId="0" xfId="5" applyFont="1" applyFill="1"/>
    <xf numFmtId="0" fontId="24" fillId="7" borderId="0" xfId="5" applyFont="1" applyFill="1" applyAlignment="1">
      <alignment horizontal="center"/>
    </xf>
    <xf numFmtId="168" fontId="24" fillId="7" borderId="0" xfId="5" applyNumberFormat="1" applyFont="1" applyFill="1"/>
    <xf numFmtId="0" fontId="27" fillId="6" borderId="0" xfId="5" applyFont="1" applyFill="1" applyAlignment="1">
      <alignment horizontal="left"/>
    </xf>
  </cellXfs>
  <cellStyles count="9">
    <cellStyle name="Comma 2" xfId="7" xr:uid="{C413F349-F1DD-7647-AF23-147A2E195A73}"/>
    <cellStyle name="Currency 2" xfId="6" xr:uid="{42AD904B-3F42-2F46-A17A-9F11F1AF4CE0}"/>
    <cellStyle name="Normal" xfId="0" builtinId="0"/>
    <cellStyle name="Normal 2" xfId="1" xr:uid="{63B5F89A-50B3-6D42-BFFC-728EC44C2C4D}"/>
    <cellStyle name="Normal 3" xfId="2" xr:uid="{E7B784F0-EE8C-7844-B29D-7BAF50E7B6F6}"/>
    <cellStyle name="Normal 4" xfId="4" xr:uid="{B8FCDCB0-8534-47EB-A092-44D6662BCF49}"/>
    <cellStyle name="Normal 5" xfId="5" xr:uid="{21EA7A77-D50B-7C4A-A1E4-EF66210E0BD7}"/>
    <cellStyle name="Percent" xfId="3" builtinId="5"/>
    <cellStyle name="Percent 2" xfId="8" xr:uid="{5D70DDC0-ACBF-3C45-9A2D-2759CB579CDB}"/>
  </cellStyles>
  <dxfs count="13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9"/>
  <colors>
    <mruColors>
      <color rgb="FF1A7FFA"/>
      <color rgb="FFA22B19"/>
      <color rgb="FFE4C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IS!$A$15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IS!$B$15:$K$15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F85-96F3-456EBE42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142111"/>
        <c:axId val="924781935"/>
      </c:barChart>
      <c:catAx>
        <c:axId val="10501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1935"/>
        <c:crosses val="autoZero"/>
        <c:auto val="1"/>
        <c:lblAlgn val="ctr"/>
        <c:lblOffset val="100"/>
        <c:noMultiLvlLbl val="0"/>
      </c:catAx>
      <c:valAx>
        <c:axId val="924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421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Percentage of Total Liabilities and Total Equity in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CS_BS!$A$38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CS_BS!$B$38:$K$38</c:f>
              <c:numCache>
                <c:formatCode>0.00%</c:formatCode>
                <c:ptCount val="10"/>
                <c:pt idx="0">
                  <c:v>0.44188027102190935</c:v>
                </c:pt>
                <c:pt idx="1">
                  <c:v>0.46802522899045906</c:v>
                </c:pt>
                <c:pt idx="2">
                  <c:v>0.46668565560560971</c:v>
                </c:pt>
                <c:pt idx="3">
                  <c:v>0.50131720582403261</c:v>
                </c:pt>
                <c:pt idx="4">
                  <c:v>0.61755338423297712</c:v>
                </c:pt>
                <c:pt idx="5">
                  <c:v>0.60934660093884441</c:v>
                </c:pt>
                <c:pt idx="6">
                  <c:v>0.62295217082572529</c:v>
                </c:pt>
                <c:pt idx="7">
                  <c:v>0.63819227646460142</c:v>
                </c:pt>
                <c:pt idx="8">
                  <c:v>0.59332044083552171</c:v>
                </c:pt>
                <c:pt idx="9">
                  <c:v>0.59011196618599837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F4B-B17F-7111F4E7337D}"/>
            </c:ext>
          </c:extLst>
        </c:ser>
        <c:ser>
          <c:idx val="1"/>
          <c:order val="1"/>
          <c:tx>
            <c:strRef>
              <c:f>CS_BS!$A$45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CS_BS!$B$45:$K$45</c:f>
              <c:numCache>
                <c:formatCode>0.00%</c:formatCode>
                <c:ptCount val="10"/>
                <c:pt idx="0">
                  <c:v>0.55811972897809059</c:v>
                </c:pt>
                <c:pt idx="1">
                  <c:v>0.53197477100954094</c:v>
                </c:pt>
                <c:pt idx="2">
                  <c:v>0.53331434439439029</c:v>
                </c:pt>
                <c:pt idx="3">
                  <c:v>0.49868279417596739</c:v>
                </c:pt>
                <c:pt idx="4">
                  <c:v>0.38244661576702288</c:v>
                </c:pt>
                <c:pt idx="5">
                  <c:v>0.39065339906115565</c:v>
                </c:pt>
                <c:pt idx="6">
                  <c:v>0.37704782917427471</c:v>
                </c:pt>
                <c:pt idx="7">
                  <c:v>0.36180772353539858</c:v>
                </c:pt>
                <c:pt idx="8">
                  <c:v>0.40667955916447823</c:v>
                </c:pt>
                <c:pt idx="9">
                  <c:v>0.40988803381400163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7-4F4B-B17F-7111F4E7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87407"/>
        <c:axId val="1048425375"/>
      </c:barChart>
      <c:catAx>
        <c:axId val="9241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5375"/>
        <c:crosses val="autoZero"/>
        <c:auto val="1"/>
        <c:lblAlgn val="ctr"/>
        <c:lblOffset val="100"/>
        <c:noMultiLvlLbl val="0"/>
      </c:catAx>
      <c:valAx>
        <c:axId val="10484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Percentage of Net Fixed Assets, Total Current Assets, Total Liabilities and Total Equity in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CS_BS!$A$22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CS_BS!$B$22:$K$22</c:f>
              <c:numCache>
                <c:formatCode>0.00%</c:formatCode>
                <c:ptCount val="10"/>
                <c:pt idx="0">
                  <c:v>0.12593926878349149</c:v>
                </c:pt>
                <c:pt idx="1">
                  <c:v>0.12298751515798625</c:v>
                </c:pt>
                <c:pt idx="2">
                  <c:v>0.11921805548268134</c:v>
                </c:pt>
                <c:pt idx="3">
                  <c:v>0.1126848337204691</c:v>
                </c:pt>
                <c:pt idx="4">
                  <c:v>0.10810346910103431</c:v>
                </c:pt>
                <c:pt idx="5">
                  <c:v>0.11137335408031172</c:v>
                </c:pt>
                <c:pt idx="6">
                  <c:v>0.11195222154595252</c:v>
                </c:pt>
                <c:pt idx="7">
                  <c:v>0.10729927842007159</c:v>
                </c:pt>
                <c:pt idx="8">
                  <c:v>0.10417651001549297</c:v>
                </c:pt>
                <c:pt idx="9">
                  <c:v>0.10568476555412054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7-B44B-9594-56695101AA97}"/>
            </c:ext>
          </c:extLst>
        </c:ser>
        <c:ser>
          <c:idx val="0"/>
          <c:order val="1"/>
          <c:tx>
            <c:strRef>
              <c:f>CS_BS!$A$19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CS_BS!$B$19:$K$19</c:f>
              <c:numCache>
                <c:formatCode>0.00%</c:formatCode>
                <c:ptCount val="10"/>
                <c:pt idx="0">
                  <c:v>0.42512605232019174</c:v>
                </c:pt>
                <c:pt idx="1">
                  <c:v>0.45234481654069969</c:v>
                </c:pt>
                <c:pt idx="2">
                  <c:v>0.45131211069551985</c:v>
                </c:pt>
                <c:pt idx="3">
                  <c:v>0.46054047929295788</c:v>
                </c:pt>
                <c:pt idx="4">
                  <c:v>0.27391721709058314</c:v>
                </c:pt>
                <c:pt idx="5">
                  <c:v>0.30095976568118521</c:v>
                </c:pt>
                <c:pt idx="6">
                  <c:v>0.28703844593223776</c:v>
                </c:pt>
                <c:pt idx="7">
                  <c:v>0.29296030738618822</c:v>
                </c:pt>
                <c:pt idx="8">
                  <c:v>0.33501631706754276</c:v>
                </c:pt>
                <c:pt idx="9">
                  <c:v>0.29509334073370408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7-B44B-9594-56695101AA97}"/>
            </c:ext>
          </c:extLst>
        </c:ser>
        <c:ser>
          <c:idx val="1"/>
          <c:order val="2"/>
          <c:tx>
            <c:strRef>
              <c:f>CS_BS!$A$45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CS_BS!$B$45:$K$45</c:f>
              <c:numCache>
                <c:formatCode>0.00%</c:formatCode>
                <c:ptCount val="10"/>
                <c:pt idx="0">
                  <c:v>0.55811972897809059</c:v>
                </c:pt>
                <c:pt idx="1">
                  <c:v>0.53197477100954094</c:v>
                </c:pt>
                <c:pt idx="2">
                  <c:v>0.53331434439439029</c:v>
                </c:pt>
                <c:pt idx="3">
                  <c:v>0.49868279417596739</c:v>
                </c:pt>
                <c:pt idx="4">
                  <c:v>0.38244661576702288</c:v>
                </c:pt>
                <c:pt idx="5">
                  <c:v>0.39065339906115565</c:v>
                </c:pt>
                <c:pt idx="6">
                  <c:v>0.37704782917427471</c:v>
                </c:pt>
                <c:pt idx="7">
                  <c:v>0.36180772353539858</c:v>
                </c:pt>
                <c:pt idx="8">
                  <c:v>0.40667955916447823</c:v>
                </c:pt>
                <c:pt idx="9">
                  <c:v>0.40988803381400163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7-B44B-9594-56695101AA97}"/>
            </c:ext>
          </c:extLst>
        </c:ser>
        <c:ser>
          <c:idx val="2"/>
          <c:order val="3"/>
          <c:tx>
            <c:strRef>
              <c:f>CS_BS!$A$38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CS_BS!$B$38:$K$38</c:f>
              <c:numCache>
                <c:formatCode>0.00%</c:formatCode>
                <c:ptCount val="10"/>
                <c:pt idx="0">
                  <c:v>0.44188027102190935</c:v>
                </c:pt>
                <c:pt idx="1">
                  <c:v>0.46802522899045906</c:v>
                </c:pt>
                <c:pt idx="2">
                  <c:v>0.46668565560560971</c:v>
                </c:pt>
                <c:pt idx="3">
                  <c:v>0.50131720582403261</c:v>
                </c:pt>
                <c:pt idx="4">
                  <c:v>0.61755338423297712</c:v>
                </c:pt>
                <c:pt idx="5">
                  <c:v>0.60934660093884441</c:v>
                </c:pt>
                <c:pt idx="6">
                  <c:v>0.62295217082572529</c:v>
                </c:pt>
                <c:pt idx="7">
                  <c:v>0.63819227646460142</c:v>
                </c:pt>
                <c:pt idx="8">
                  <c:v>0.59332044083552171</c:v>
                </c:pt>
                <c:pt idx="9">
                  <c:v>0.59011196618599837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67-B44B-9594-56695101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2127"/>
        <c:axId val="1048414959"/>
      </c:barChart>
      <c:catAx>
        <c:axId val="98789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9501312335957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4959"/>
        <c:crosses val="autoZero"/>
        <c:auto val="1"/>
        <c:lblAlgn val="ctr"/>
        <c:lblOffset val="100"/>
        <c:noMultiLvlLbl val="0"/>
      </c:catAx>
      <c:valAx>
        <c:axId val="10484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(USD)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66703120443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ROIC</a:t>
            </a:r>
            <a:r>
              <a:rPr lang="en-US" sz="1800" b="1" baseline="0">
                <a:solidFill>
                  <a:schemeClr val="tx1"/>
                </a:solidFill>
              </a:rPr>
              <a:t> vs. WACC 2023 - 2032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DCF!$A$14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DCF!$D$2:$M$2</c:f>
              <c:numCache>
                <c:formatCode>General</c:formatCode>
                <c:ptCount val="1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</c:numCache>
            </c:numRef>
          </c:cat>
          <c:val>
            <c:numRef>
              <c:f>DCF!$D$14:$M$14</c:f>
              <c:numCache>
                <c:formatCode>0.00%</c:formatCode>
                <c:ptCount val="10"/>
                <c:pt idx="0">
                  <c:v>0.14518203244333919</c:v>
                </c:pt>
                <c:pt idx="1">
                  <c:v>0.14128055156389627</c:v>
                </c:pt>
                <c:pt idx="2">
                  <c:v>0.14434057356642399</c:v>
                </c:pt>
                <c:pt idx="3">
                  <c:v>0.14547947203649256</c:v>
                </c:pt>
                <c:pt idx="4">
                  <c:v>0.1445579075367078</c:v>
                </c:pt>
                <c:pt idx="5">
                  <c:v>0.14273400731682531</c:v>
                </c:pt>
                <c:pt idx="6">
                  <c:v>0.14970586039034545</c:v>
                </c:pt>
                <c:pt idx="7">
                  <c:v>0.14879811141952054</c:v>
                </c:pt>
                <c:pt idx="8">
                  <c:v>0.14794376435911832</c:v>
                </c:pt>
                <c:pt idx="9">
                  <c:v>0.14915293132482685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3-664D-AFCE-A261E3DA0630}"/>
            </c:ext>
          </c:extLst>
        </c:ser>
        <c:ser>
          <c:idx val="1"/>
          <c:order val="1"/>
          <c:tx>
            <c:strRef>
              <c:f>DCF!$A$10</c:f>
              <c:strCache>
                <c:ptCount val="1"/>
                <c:pt idx="0">
                  <c:v>WACC (discount 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DCF!$D$2:$M$2</c:f>
              <c:numCache>
                <c:formatCode>General</c:formatCode>
                <c:ptCount val="1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</c:numCache>
            </c:numRef>
          </c:cat>
          <c:val>
            <c:numRef>
              <c:f>DCF!$D$10:$M$10</c:f>
              <c:numCache>
                <c:formatCode>0.00%</c:formatCode>
                <c:ptCount val="10"/>
                <c:pt idx="0">
                  <c:v>7.1535021919497704E-2</c:v>
                </c:pt>
                <c:pt idx="1">
                  <c:v>7.2503010202937535E-2</c:v>
                </c:pt>
                <c:pt idx="2">
                  <c:v>7.1037946855028594E-2</c:v>
                </c:pt>
                <c:pt idx="3">
                  <c:v>7.1526301304331574E-2</c:v>
                </c:pt>
                <c:pt idx="4">
                  <c:v>7.1037946855028594E-2</c:v>
                </c:pt>
                <c:pt idx="5">
                  <c:v>7.0549592405725614E-2</c:v>
                </c:pt>
                <c:pt idx="6">
                  <c:v>7.0061237956422606E-2</c:v>
                </c:pt>
                <c:pt idx="7">
                  <c:v>7.0549592405725614E-2</c:v>
                </c:pt>
                <c:pt idx="8">
                  <c:v>7.0061237956422606E-2</c:v>
                </c:pt>
                <c:pt idx="9">
                  <c:v>7.0061237956422606E-2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3-664D-AFCE-A261E3DA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990719"/>
        <c:axId val="1368992431"/>
      </c:lineChart>
      <c:catAx>
        <c:axId val="136899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92431"/>
        <c:crosses val="autoZero"/>
        <c:auto val="1"/>
        <c:lblAlgn val="ctr"/>
        <c:lblOffset val="100"/>
        <c:noMultiLvlLbl val="0"/>
      </c:catAx>
      <c:valAx>
        <c:axId val="1368992431"/>
        <c:scaling>
          <c:orientation val="minMax"/>
          <c:max val="0.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90719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Free Cash Flow 2022 - 2032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19638422484595"/>
          <c:y val="0.14383767413688672"/>
          <c:w val="0.67682174550570839"/>
          <c:h val="0.66429342486035403"/>
        </c:manualLayout>
      </c:layout>
      <c:areaChart>
        <c:grouping val="stacked"/>
        <c:varyColors val="0"/>
        <c:ser>
          <c:idx val="0"/>
          <c:order val="0"/>
          <c:tx>
            <c:strRef>
              <c:f>DCF!$A$117</c:f>
              <c:strCache>
                <c:ptCount val="1"/>
                <c:pt idx="0">
                  <c:v>Unlevered Free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10-3143-9D37-B8539322E7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10-3143-9D37-B8539322E7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0-3143-9D37-B8539322E71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10-3143-9D37-B8539322E7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10-3143-9D37-B8539322E7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10-3143-9D37-B8539322E7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10-3143-9D37-B8539322E7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10-3143-9D37-B8539322E71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10-3143-9D37-B8539322E71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10-3143-9D37-B8539322E71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10-3143-9D37-B8539322E713}"/>
                </c:ext>
              </c:extLst>
            </c:dLbl>
            <c:dLbl>
              <c:idx val="11"/>
              <c:layout>
                <c:manualLayout>
                  <c:x val="0"/>
                  <c:y val="-0.35213675213675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10-3143-9D37-B8539322E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DCF!$B$111:$M$111</c:f>
              <c:numCache>
                <c:formatCode>General</c:formatCode>
                <c:ptCount val="1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</c:numCache>
            </c:numRef>
          </c:cat>
          <c:val>
            <c:numRef>
              <c:f>DCF!$B$117:$M$117</c:f>
              <c:numCache>
                <c:formatCode>"$"#,##0.00</c:formatCode>
                <c:ptCount val="12"/>
                <c:pt idx="0">
                  <c:v>14292</c:v>
                </c:pt>
                <c:pt idx="1">
                  <c:v>35018</c:v>
                </c:pt>
                <c:pt idx="2">
                  <c:v>14334.739642770837</c:v>
                </c:pt>
                <c:pt idx="3">
                  <c:v>16415.509127096419</c:v>
                </c:pt>
                <c:pt idx="4">
                  <c:v>19499.370515957435</c:v>
                </c:pt>
                <c:pt idx="5">
                  <c:v>25156.570660825626</c:v>
                </c:pt>
                <c:pt idx="6">
                  <c:v>23855.248803901799</c:v>
                </c:pt>
                <c:pt idx="7">
                  <c:v>23730.633621329522</c:v>
                </c:pt>
                <c:pt idx="8">
                  <c:v>30222.791856726122</c:v>
                </c:pt>
                <c:pt idx="9">
                  <c:v>28772.725138924063</c:v>
                </c:pt>
                <c:pt idx="10">
                  <c:v>30202.922635870258</c:v>
                </c:pt>
                <c:pt idx="11">
                  <c:v>34960.056232242569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0-3143-9D37-B8539322E7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6372047"/>
        <c:axId val="1377000751"/>
      </c:areaChart>
      <c:catAx>
        <c:axId val="36637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00751"/>
        <c:crosses val="autoZero"/>
        <c:auto val="1"/>
        <c:lblAlgn val="ctr"/>
        <c:lblOffset val="100"/>
        <c:noMultiLvlLbl val="0"/>
      </c:catAx>
      <c:valAx>
        <c:axId val="13770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Millions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in U.S DOLLARS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Market Capitalization: JNJ, Pfizer, Merck, Eli Lilly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Valuation'!$B$5</c:f>
              <c:strCache>
                <c:ptCount val="1"/>
                <c:pt idx="0">
                  <c:v>Market Cap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strRef>
              <c:f>'Relative Valuation'!$C$3:$F$3</c:f>
              <c:strCache>
                <c:ptCount val="4"/>
                <c:pt idx="0">
                  <c:v>JNJ</c:v>
                </c:pt>
                <c:pt idx="1">
                  <c:v>Pfizer</c:v>
                </c:pt>
                <c:pt idx="2">
                  <c:v>Merck</c:v>
                </c:pt>
                <c:pt idx="3">
                  <c:v>Eli Lilly</c:v>
                </c:pt>
              </c:strCache>
            </c:strRef>
          </c:cat>
          <c:val>
            <c:numRef>
              <c:f>'Relative Valuation'!$C$5:$F$5</c:f>
              <c:numCache>
                <c:formatCode>"$"#,##0.00</c:formatCode>
                <c:ptCount val="4"/>
                <c:pt idx="0">
                  <c:v>423960000</c:v>
                </c:pt>
                <c:pt idx="1">
                  <c:v>287763840</c:v>
                </c:pt>
                <c:pt idx="2">
                  <c:v>281572669.42980003</c:v>
                </c:pt>
                <c:pt idx="3">
                  <c:v>347614582.88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5748-B8D7-D4372950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605599"/>
        <c:axId val="2036186591"/>
      </c:barChart>
      <c:catAx>
        <c:axId val="20196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86591"/>
        <c:crosses val="autoZero"/>
        <c:auto val="1"/>
        <c:lblAlgn val="ctr"/>
        <c:lblOffset val="100"/>
        <c:noMultiLvlLbl val="0"/>
      </c:catAx>
      <c:valAx>
        <c:axId val="20361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0559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Comparable</a:t>
            </a:r>
            <a:r>
              <a:rPr lang="en-US" b="1" baseline="0">
                <a:solidFill>
                  <a:schemeClr val="tx1"/>
                </a:solidFill>
              </a:rPr>
              <a:t> Company Analysis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Valuation'!$B$12</c:f>
              <c:strCache>
                <c:ptCount val="1"/>
                <c:pt idx="0">
                  <c:v>P/E (forward or last earnings)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strRef>
              <c:f>'Relative Valuation'!$C$3:$G$3</c:f>
              <c:strCache>
                <c:ptCount val="5"/>
                <c:pt idx="0">
                  <c:v>JNJ</c:v>
                </c:pt>
                <c:pt idx="1">
                  <c:v>Pfizer</c:v>
                </c:pt>
                <c:pt idx="2">
                  <c:v>Merck</c:v>
                </c:pt>
                <c:pt idx="3">
                  <c:v>Eli Lilly</c:v>
                </c:pt>
                <c:pt idx="4">
                  <c:v>Average Industry</c:v>
                </c:pt>
              </c:strCache>
            </c:strRef>
          </c:cat>
          <c:val>
            <c:numRef>
              <c:f>'Relative Valuation'!$C$12:$G$12</c:f>
              <c:numCache>
                <c:formatCode>0.00</c:formatCode>
                <c:ptCount val="5"/>
                <c:pt idx="0">
                  <c:v>21.540245650222996</c:v>
                </c:pt>
                <c:pt idx="1">
                  <c:v>9.1726329210761186</c:v>
                </c:pt>
                <c:pt idx="2">
                  <c:v>19.393392756374407</c:v>
                </c:pt>
                <c:pt idx="3">
                  <c:v>55.664646246477069</c:v>
                </c:pt>
                <c:pt idx="4">
                  <c:v>28.076890641309195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8F45-B327-5689F3CB1E58}"/>
            </c:ext>
          </c:extLst>
        </c:ser>
        <c:ser>
          <c:idx val="1"/>
          <c:order val="1"/>
          <c:tx>
            <c:strRef>
              <c:f>'Relative Valuation'!$B$13</c:f>
              <c:strCache>
                <c:ptCount val="1"/>
                <c:pt idx="0">
                  <c:v>EBITDA multiplier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'Relative Valuation'!$C$3:$G$3</c:f>
              <c:strCache>
                <c:ptCount val="5"/>
                <c:pt idx="0">
                  <c:v>JNJ</c:v>
                </c:pt>
                <c:pt idx="1">
                  <c:v>Pfizer</c:v>
                </c:pt>
                <c:pt idx="2">
                  <c:v>Merck</c:v>
                </c:pt>
                <c:pt idx="3">
                  <c:v>Eli Lilly</c:v>
                </c:pt>
                <c:pt idx="4">
                  <c:v>Average Industry</c:v>
                </c:pt>
              </c:strCache>
            </c:strRef>
          </c:cat>
          <c:val>
            <c:numRef>
              <c:f>'Relative Valuation'!$C$13:$G$13</c:f>
              <c:numCache>
                <c:formatCode>0.00</c:formatCode>
                <c:ptCount val="5"/>
                <c:pt idx="0">
                  <c:v>15.992506719200057</c:v>
                </c:pt>
                <c:pt idx="1">
                  <c:v>7.1926574685062992</c:v>
                </c:pt>
                <c:pt idx="2">
                  <c:v>12.688597603974586</c:v>
                </c:pt>
                <c:pt idx="3">
                  <c:v>40.186656980346818</c:v>
                </c:pt>
                <c:pt idx="4">
                  <c:v>20.022637350942567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A-8F45-B327-5689F3CB1E58}"/>
            </c:ext>
          </c:extLst>
        </c:ser>
        <c:ser>
          <c:idx val="2"/>
          <c:order val="2"/>
          <c:tx>
            <c:strRef>
              <c:f>'Relative Valuation'!$B$14</c:f>
              <c:strCache>
                <c:ptCount val="1"/>
                <c:pt idx="0">
                  <c:v>Sales multiplier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'Relative Valuation'!$C$3:$G$3</c:f>
              <c:strCache>
                <c:ptCount val="5"/>
                <c:pt idx="0">
                  <c:v>JNJ</c:v>
                </c:pt>
                <c:pt idx="1">
                  <c:v>Pfizer</c:v>
                </c:pt>
                <c:pt idx="2">
                  <c:v>Merck</c:v>
                </c:pt>
                <c:pt idx="3">
                  <c:v>Eli Lilly</c:v>
                </c:pt>
                <c:pt idx="4">
                  <c:v>Average Industry</c:v>
                </c:pt>
              </c:strCache>
            </c:strRef>
          </c:cat>
          <c:val>
            <c:numRef>
              <c:f>'Relative Valuation'!$C$14:$G$14</c:f>
              <c:numCache>
                <c:formatCode>0.00</c:formatCode>
                <c:ptCount val="5"/>
                <c:pt idx="0">
                  <c:v>4.1928789593993612</c:v>
                </c:pt>
                <c:pt idx="1">
                  <c:v>2.8681734276886277</c:v>
                </c:pt>
                <c:pt idx="2">
                  <c:v>4.7496359737159057</c:v>
                </c:pt>
                <c:pt idx="3">
                  <c:v>12.179310856510192</c:v>
                </c:pt>
                <c:pt idx="4">
                  <c:v>6.5990400859715761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A-8F45-B327-5689F3CB1E58}"/>
            </c:ext>
          </c:extLst>
        </c:ser>
        <c:ser>
          <c:idx val="3"/>
          <c:order val="3"/>
          <c:tx>
            <c:strRef>
              <c:f>'Relative Valuation'!$B$15</c:f>
              <c:strCache>
                <c:ptCount val="1"/>
                <c:pt idx="0">
                  <c:v>Book Value multiplier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'Relative Valuation'!$C$3:$G$3</c:f>
              <c:strCache>
                <c:ptCount val="5"/>
                <c:pt idx="0">
                  <c:v>JNJ</c:v>
                </c:pt>
                <c:pt idx="1">
                  <c:v>Pfizer</c:v>
                </c:pt>
                <c:pt idx="2">
                  <c:v>Merck</c:v>
                </c:pt>
                <c:pt idx="3">
                  <c:v>Eli Lilly</c:v>
                </c:pt>
                <c:pt idx="4">
                  <c:v>Average Industry</c:v>
                </c:pt>
              </c:strCache>
            </c:strRef>
          </c:cat>
          <c:val>
            <c:numRef>
              <c:f>'Relative Valuation'!$C$15:$G$15</c:f>
              <c:numCache>
                <c:formatCode>0.00</c:formatCode>
                <c:ptCount val="5"/>
                <c:pt idx="0">
                  <c:v>4.793667997403082</c:v>
                </c:pt>
                <c:pt idx="1">
                  <c:v>2.9604115056993541</c:v>
                </c:pt>
                <c:pt idx="2">
                  <c:v>6.8177401798983057</c:v>
                </c:pt>
                <c:pt idx="3">
                  <c:v>30.743307940214027</c:v>
                </c:pt>
                <c:pt idx="4">
                  <c:v>13.507153208603896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A-8F45-B327-5689F3CB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136511"/>
        <c:axId val="2068778927"/>
      </c:barChart>
      <c:catAx>
        <c:axId val="20601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78927"/>
        <c:crosses val="autoZero"/>
        <c:auto val="1"/>
        <c:lblAlgn val="ctr"/>
        <c:lblOffset val="100"/>
        <c:noMultiLvlLbl val="0"/>
      </c:catAx>
      <c:valAx>
        <c:axId val="20687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Sales Revenue of JNJ from 2013 - 2032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'Projected Sales Segment'!$A$2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'Projected Sales Segment'!$C$1:$V$1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Sales Segment'!$C$2:$V$2</c:f>
              <c:numCache>
                <c:formatCode>"$"#,##0</c:formatCode>
                <c:ptCount val="20"/>
                <c:pt idx="0">
                  <c:v>14697</c:v>
                </c:pt>
                <c:pt idx="1">
                  <c:v>14496</c:v>
                </c:pt>
                <c:pt idx="2">
                  <c:v>13507</c:v>
                </c:pt>
                <c:pt idx="3">
                  <c:v>13307</c:v>
                </c:pt>
                <c:pt idx="4">
                  <c:v>13602</c:v>
                </c:pt>
                <c:pt idx="5">
                  <c:v>13853</c:v>
                </c:pt>
                <c:pt idx="6">
                  <c:v>13898</c:v>
                </c:pt>
                <c:pt idx="7">
                  <c:v>14450</c:v>
                </c:pt>
                <c:pt idx="8">
                  <c:v>15035</c:v>
                </c:pt>
                <c:pt idx="9">
                  <c:v>14953</c:v>
                </c:pt>
                <c:pt idx="10" formatCode="&quot;$&quot;#,##0.00">
                  <c:v>14988.887199999999</c:v>
                </c:pt>
                <c:pt idx="11" formatCode="&quot;$&quot;#,##0.00">
                  <c:v>15024.860529279998</c:v>
                </c:pt>
                <c:pt idx="12" formatCode="&quot;$&quot;#,##0.00">
                  <c:v>15060.92019455027</c:v>
                </c:pt>
                <c:pt idx="13" formatCode="&quot;$&quot;#,##0.00">
                  <c:v>15097.06640301719</c:v>
                </c:pt>
                <c:pt idx="14" formatCode="&quot;$&quot;#,##0.00">
                  <c:v>15133.29936238443</c:v>
                </c:pt>
                <c:pt idx="15" formatCode="&quot;$&quot;#,##0.00">
                  <c:v>15169.619280854153</c:v>
                </c:pt>
                <c:pt idx="16" formatCode="&quot;$&quot;#,##0.00">
                  <c:v>15206.026367128203</c:v>
                </c:pt>
                <c:pt idx="17" formatCode="&quot;$&quot;#,##0.00">
                  <c:v>15242.52083040931</c:v>
                </c:pt>
                <c:pt idx="18" formatCode="&quot;$&quot;#,##0.00">
                  <c:v>15279.102880402292</c:v>
                </c:pt>
                <c:pt idx="19" formatCode="&quot;$&quot;#,##0.00">
                  <c:v>15315.772727315256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7-8140-B423-D360A0A3E040}"/>
            </c:ext>
          </c:extLst>
        </c:ser>
        <c:ser>
          <c:idx val="2"/>
          <c:order val="1"/>
          <c:tx>
            <c:strRef>
              <c:f>'Projected Sales Segment'!$A$3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Sales Segment'!$C$1:$V$1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Sales Segment'!$C$3:$V$3</c:f>
              <c:numCache>
                <c:formatCode>"$"#,##0</c:formatCode>
                <c:ptCount val="20"/>
                <c:pt idx="0">
                  <c:v>28125</c:v>
                </c:pt>
                <c:pt idx="1">
                  <c:v>32313</c:v>
                </c:pt>
                <c:pt idx="2">
                  <c:v>31430</c:v>
                </c:pt>
                <c:pt idx="3">
                  <c:v>33464</c:v>
                </c:pt>
                <c:pt idx="4">
                  <c:v>36256</c:v>
                </c:pt>
                <c:pt idx="5">
                  <c:v>40734</c:v>
                </c:pt>
                <c:pt idx="6">
                  <c:v>42198</c:v>
                </c:pt>
                <c:pt idx="7">
                  <c:v>45175</c:v>
                </c:pt>
                <c:pt idx="8">
                  <c:v>51680</c:v>
                </c:pt>
                <c:pt idx="9">
                  <c:v>52563</c:v>
                </c:pt>
                <c:pt idx="10" formatCode="&quot;$&quot;#,##0.00">
                  <c:v>56421.124199999998</c:v>
                </c:pt>
                <c:pt idx="11" formatCode="&quot;$&quot;#,##0.00">
                  <c:v>60562.434716279997</c:v>
                </c:pt>
                <c:pt idx="12" formatCode="&quot;$&quot;#,##0.00">
                  <c:v>65007.717424454946</c:v>
                </c:pt>
                <c:pt idx="13" formatCode="&quot;$&quot;#,##0.00">
                  <c:v>69779.283883409938</c:v>
                </c:pt>
                <c:pt idx="14" formatCode="&quot;$&quot;#,##0.00">
                  <c:v>74901.083320452221</c:v>
                </c:pt>
                <c:pt idx="15" formatCode="&quot;$&quot;#,##0.00">
                  <c:v>80398.822836173407</c:v>
                </c:pt>
                <c:pt idx="16" formatCode="&quot;$&quot;#,##0.00">
                  <c:v>86300.096432348524</c:v>
                </c:pt>
                <c:pt idx="17" formatCode="&quot;$&quot;#,##0.00">
                  <c:v>92634.523510482904</c:v>
                </c:pt>
                <c:pt idx="18" formatCode="&quot;$&quot;#,##0.00">
                  <c:v>99433.897536152348</c:v>
                </c:pt>
                <c:pt idx="19" formatCode="&quot;$&quot;#,##0.00">
                  <c:v>106732.34561530592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7-8140-B423-D360A0A3E040}"/>
            </c:ext>
          </c:extLst>
        </c:ser>
        <c:ser>
          <c:idx val="3"/>
          <c:order val="2"/>
          <c:tx>
            <c:strRef>
              <c:f>'Projected Sales Segment'!$A$4</c:f>
              <c:strCache>
                <c:ptCount val="1"/>
                <c:pt idx="0">
                  <c:v>Medical Devices and Diagnostics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'Projected Sales Segment'!$C$1:$V$1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</c:numCache>
            </c:numRef>
          </c:cat>
          <c:val>
            <c:numRef>
              <c:f>'Projected Sales Segment'!$C$4:$V$4</c:f>
              <c:numCache>
                <c:formatCode>"$"#,##0</c:formatCode>
                <c:ptCount val="20"/>
                <c:pt idx="0">
                  <c:v>28490</c:v>
                </c:pt>
                <c:pt idx="1">
                  <c:v>27522</c:v>
                </c:pt>
                <c:pt idx="2">
                  <c:v>25137</c:v>
                </c:pt>
                <c:pt idx="3">
                  <c:v>25119</c:v>
                </c:pt>
                <c:pt idx="4">
                  <c:v>26592</c:v>
                </c:pt>
                <c:pt idx="5">
                  <c:v>26994</c:v>
                </c:pt>
                <c:pt idx="6">
                  <c:v>25963</c:v>
                </c:pt>
                <c:pt idx="7">
                  <c:v>22959</c:v>
                </c:pt>
                <c:pt idx="8">
                  <c:v>27060</c:v>
                </c:pt>
                <c:pt idx="9">
                  <c:v>27427</c:v>
                </c:pt>
                <c:pt idx="10" formatCode="&quot;$&quot;#,##0.00">
                  <c:v>27454.426999999996</c:v>
                </c:pt>
                <c:pt idx="11" formatCode="&quot;$&quot;#,##0.00">
                  <c:v>27481.881426999993</c:v>
                </c:pt>
                <c:pt idx="12" formatCode="&quot;$&quot;#,##0.00">
                  <c:v>27509.36330842699</c:v>
                </c:pt>
                <c:pt idx="13" formatCode="&quot;$&quot;#,##0.00">
                  <c:v>27536.872671735415</c:v>
                </c:pt>
                <c:pt idx="14" formatCode="&quot;$&quot;#,##0.00">
                  <c:v>27564.409544407146</c:v>
                </c:pt>
                <c:pt idx="15" formatCode="&quot;$&quot;#,##0.00">
                  <c:v>27591.97395395155</c:v>
                </c:pt>
                <c:pt idx="16" formatCode="&quot;$&quot;#,##0.00">
                  <c:v>27619.5659279055</c:v>
                </c:pt>
                <c:pt idx="17" formatCode="&quot;$&quot;#,##0.00">
                  <c:v>27647.185493833404</c:v>
                </c:pt>
                <c:pt idx="18" formatCode="&quot;$&quot;#,##0.00">
                  <c:v>27674.832679327235</c:v>
                </c:pt>
                <c:pt idx="19" formatCode="&quot;$&quot;#,##0.00">
                  <c:v>27702.507512006559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7-8140-B423-D360A0A3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669311"/>
        <c:axId val="1368483439"/>
      </c:barChart>
      <c:catAx>
        <c:axId val="10766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83439"/>
        <c:crosses val="autoZero"/>
        <c:auto val="1"/>
        <c:lblAlgn val="ctr"/>
        <c:lblOffset val="100"/>
        <c:noMultiLvlLbl val="0"/>
      </c:catAx>
      <c:valAx>
        <c:axId val="13684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Sales in Millions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($)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9311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'Company_Income statement'!$A$19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statement'!$B$19:$K$19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5-0A4F-92A0-C2D1F53C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142111"/>
        <c:axId val="924781935"/>
      </c:barChart>
      <c:catAx>
        <c:axId val="10501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1935"/>
        <c:crosses val="autoZero"/>
        <c:auto val="1"/>
        <c:lblAlgn val="ctr"/>
        <c:lblOffset val="100"/>
        <c:noMultiLvlLbl val="0"/>
      </c:catAx>
      <c:valAx>
        <c:axId val="924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421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revenue &amp;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'Company_Income statement'!$A$19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statement'!$B$19:$K$19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6B41-AFDF-696F9581EFF0}"/>
            </c:ext>
          </c:extLst>
        </c:ser>
        <c:ser>
          <c:idx val="1"/>
          <c:order val="1"/>
          <c:tx>
            <c:strRef>
              <c:f>'Company_Income statement'!$A$35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statement'!$B$35:$K$35</c:f>
              <c:numCache>
                <c:formatCode>"$"#,##0.00</c:formatCode>
                <c:ptCount val="10"/>
                <c:pt idx="0">
                  <c:v>13831</c:v>
                </c:pt>
                <c:pt idx="1">
                  <c:v>16323</c:v>
                </c:pt>
                <c:pt idx="2">
                  <c:v>15409</c:v>
                </c:pt>
                <c:pt idx="3">
                  <c:v>16540</c:v>
                </c:pt>
                <c:pt idx="4">
                  <c:v>1300</c:v>
                </c:pt>
                <c:pt idx="5">
                  <c:v>15297</c:v>
                </c:pt>
                <c:pt idx="6">
                  <c:v>15119</c:v>
                </c:pt>
                <c:pt idx="7">
                  <c:v>14714</c:v>
                </c:pt>
                <c:pt idx="8">
                  <c:v>20878</c:v>
                </c:pt>
                <c:pt idx="9">
                  <c:v>17941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6B41-AFDF-696F9581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51823"/>
        <c:axId val="924785407"/>
      </c:barChart>
      <c:catAx>
        <c:axId val="107275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5407"/>
        <c:crosses val="autoZero"/>
        <c:auto val="1"/>
        <c:lblAlgn val="ctr"/>
        <c:lblOffset val="100"/>
        <c:noMultiLvlLbl val="0"/>
      </c:catAx>
      <c:valAx>
        <c:axId val="924785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Millions</a:t>
                </a:r>
                <a:r>
                  <a:rPr lang="en-US" altLang="zh-CN" baseline="0"/>
                  <a:t> (USD)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Sales Revenue: JNJ,</a:t>
            </a:r>
            <a:r>
              <a:rPr lang="en-US" sz="1800" b="1" baseline="0">
                <a:solidFill>
                  <a:schemeClr val="tx1"/>
                </a:solidFill>
              </a:rPr>
              <a:t> Pfizer, Merck, and Eli Lilly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015847702581"/>
          <c:y val="0.25943494132198991"/>
          <c:w val="0.7729133858267716"/>
          <c:h val="0.53167707484840254"/>
        </c:manualLayout>
      </c:layout>
      <c:lineChart>
        <c:grouping val="standard"/>
        <c:varyColors val="0"/>
        <c:ser>
          <c:idx val="0"/>
          <c:order val="0"/>
          <c:tx>
            <c:v>JNJ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statement'!$B$91:$K$91</c:f>
              <c:numCache>
                <c:formatCode>"$"#,##0.00</c:formatCode>
                <c:ptCount val="1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1-E342-A86E-00DCD97F74FE}"/>
            </c:ext>
          </c:extLst>
        </c:ser>
        <c:ser>
          <c:idx val="1"/>
          <c:order val="1"/>
          <c:tx>
            <c:v>Pfizer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statement'!$B$156:$K$156</c:f>
              <c:numCache>
                <c:formatCode>"$"#,##0.00</c:formatCode>
                <c:ptCount val="10"/>
                <c:pt idx="0">
                  <c:v>51584000</c:v>
                </c:pt>
                <c:pt idx="1">
                  <c:v>49605000</c:v>
                </c:pt>
                <c:pt idx="2">
                  <c:v>48851000</c:v>
                </c:pt>
                <c:pt idx="3">
                  <c:v>52824000</c:v>
                </c:pt>
                <c:pt idx="4">
                  <c:v>52546000</c:v>
                </c:pt>
                <c:pt idx="5">
                  <c:v>53647000</c:v>
                </c:pt>
                <c:pt idx="6">
                  <c:v>51750000</c:v>
                </c:pt>
                <c:pt idx="7">
                  <c:v>41908000</c:v>
                </c:pt>
                <c:pt idx="8">
                  <c:v>81288000</c:v>
                </c:pt>
                <c:pt idx="9">
                  <c:v>100330000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1-E342-A86E-00DCD97F74FE}"/>
            </c:ext>
          </c:extLst>
        </c:ser>
        <c:ser>
          <c:idx val="2"/>
          <c:order val="2"/>
          <c:tx>
            <c:v>Merck</c:v>
          </c:tx>
          <c:spPr>
            <a:ln w="28575" cap="rnd">
              <a:solidFill>
                <a:srgbClr val="1A7FFA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statement'!$B$210:$K$210</c:f>
              <c:numCache>
                <c:formatCode>"$"#,##0.00</c:formatCode>
                <c:ptCount val="10"/>
                <c:pt idx="0">
                  <c:v>44033000</c:v>
                </c:pt>
                <c:pt idx="1">
                  <c:v>42237000</c:v>
                </c:pt>
                <c:pt idx="2">
                  <c:v>39498000</c:v>
                </c:pt>
                <c:pt idx="3">
                  <c:v>39807000</c:v>
                </c:pt>
                <c:pt idx="4">
                  <c:v>40122000</c:v>
                </c:pt>
                <c:pt idx="5">
                  <c:v>42294000</c:v>
                </c:pt>
                <c:pt idx="6">
                  <c:v>46840000</c:v>
                </c:pt>
                <c:pt idx="7">
                  <c:v>47994000</c:v>
                </c:pt>
                <c:pt idx="8">
                  <c:v>48704000</c:v>
                </c:pt>
                <c:pt idx="9">
                  <c:v>59283000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1-E342-A86E-00DCD97F74FE}"/>
            </c:ext>
          </c:extLst>
        </c:ser>
        <c:ser>
          <c:idx val="3"/>
          <c:order val="3"/>
          <c:tx>
            <c:v>Eli Lilly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statement'!$B$14:$K$14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statement'!$B$264:$K$264</c:f>
              <c:numCache>
                <c:formatCode>"$"#,##0.00</c:formatCode>
                <c:ptCount val="10"/>
                <c:pt idx="0">
                  <c:v>23113100</c:v>
                </c:pt>
                <c:pt idx="1">
                  <c:v>19615600</c:v>
                </c:pt>
                <c:pt idx="2">
                  <c:v>19958700</c:v>
                </c:pt>
                <c:pt idx="3">
                  <c:v>21222100</c:v>
                </c:pt>
                <c:pt idx="4">
                  <c:v>22871300</c:v>
                </c:pt>
                <c:pt idx="5">
                  <c:v>24555700</c:v>
                </c:pt>
                <c:pt idx="6">
                  <c:v>22319500</c:v>
                </c:pt>
                <c:pt idx="7">
                  <c:v>24539800</c:v>
                </c:pt>
                <c:pt idx="8">
                  <c:v>28318400</c:v>
                </c:pt>
                <c:pt idx="9">
                  <c:v>28541400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1-E342-A86E-00DCD97F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34383"/>
        <c:axId val="300803455"/>
      </c:lineChart>
      <c:catAx>
        <c:axId val="3001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3455"/>
        <c:crosses val="autoZero"/>
        <c:auto val="1"/>
        <c:lblAlgn val="ctr"/>
        <c:lblOffset val="100"/>
        <c:noMultiLvlLbl val="0"/>
      </c:catAx>
      <c:valAx>
        <c:axId val="3008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4383"/>
        <c:crosses val="autoZero"/>
        <c:crossBetween val="between"/>
        <c:majorUnit val="2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revenue &amp;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IS!$A$15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IS!$B$15:$K$15</c:f>
              <c:numCache>
                <c:formatCode>"$"#,##0.00</c:formatCode>
                <c:ptCount val="10"/>
                <c:pt idx="0">
                  <c:v>71312</c:v>
                </c:pt>
                <c:pt idx="1">
                  <c:v>74331</c:v>
                </c:pt>
                <c:pt idx="2">
                  <c:v>70074</c:v>
                </c:pt>
                <c:pt idx="3">
                  <c:v>71890</c:v>
                </c:pt>
                <c:pt idx="4">
                  <c:v>76450</c:v>
                </c:pt>
                <c:pt idx="5">
                  <c:v>81581</c:v>
                </c:pt>
                <c:pt idx="6">
                  <c:v>82059</c:v>
                </c:pt>
                <c:pt idx="7">
                  <c:v>82584</c:v>
                </c:pt>
                <c:pt idx="8">
                  <c:v>93775</c:v>
                </c:pt>
                <c:pt idx="9">
                  <c:v>94943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3-4CEA-9D2D-5B7CC0ECEA56}"/>
            </c:ext>
          </c:extLst>
        </c:ser>
        <c:ser>
          <c:idx val="1"/>
          <c:order val="1"/>
          <c:tx>
            <c:strRef>
              <c:f>IS!$A$31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IS!$B$31:$K$31</c:f>
              <c:numCache>
                <c:formatCode>"$"#,##0.00</c:formatCode>
                <c:ptCount val="10"/>
                <c:pt idx="0">
                  <c:v>13831</c:v>
                </c:pt>
                <c:pt idx="1">
                  <c:v>16323</c:v>
                </c:pt>
                <c:pt idx="2">
                  <c:v>15409</c:v>
                </c:pt>
                <c:pt idx="3">
                  <c:v>16540</c:v>
                </c:pt>
                <c:pt idx="4">
                  <c:v>1300</c:v>
                </c:pt>
                <c:pt idx="5">
                  <c:v>15297</c:v>
                </c:pt>
                <c:pt idx="6">
                  <c:v>15119</c:v>
                </c:pt>
                <c:pt idx="7">
                  <c:v>14714</c:v>
                </c:pt>
                <c:pt idx="8">
                  <c:v>20878</c:v>
                </c:pt>
                <c:pt idx="9">
                  <c:v>17941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3-4CEA-9D2D-5B7CC0EC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51823"/>
        <c:axId val="924785407"/>
      </c:barChart>
      <c:catAx>
        <c:axId val="107275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5407"/>
        <c:crosses val="autoZero"/>
        <c:auto val="1"/>
        <c:lblAlgn val="ctr"/>
        <c:lblOffset val="100"/>
        <c:noMultiLvlLbl val="0"/>
      </c:catAx>
      <c:valAx>
        <c:axId val="924785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Millions</a:t>
                </a:r>
                <a:r>
                  <a:rPr lang="en-US" altLang="zh-CN" baseline="0"/>
                  <a:t> (USD)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Johnson &amp; Johnson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statement'!$B$91:$K$91</c:f>
              <c:numCache>
                <c:formatCode>"$"#,##0.00</c:formatCode>
                <c:ptCount val="10"/>
                <c:pt idx="0">
                  <c:v>71312000</c:v>
                </c:pt>
                <c:pt idx="1">
                  <c:v>74331000</c:v>
                </c:pt>
                <c:pt idx="2">
                  <c:v>70074000</c:v>
                </c:pt>
                <c:pt idx="3">
                  <c:v>71890000</c:v>
                </c:pt>
                <c:pt idx="4">
                  <c:v>76450000</c:v>
                </c:pt>
                <c:pt idx="5">
                  <c:v>81581000</c:v>
                </c:pt>
                <c:pt idx="6">
                  <c:v>82059000</c:v>
                </c:pt>
                <c:pt idx="7">
                  <c:v>82584000</c:v>
                </c:pt>
                <c:pt idx="8">
                  <c:v>93775000</c:v>
                </c:pt>
                <c:pt idx="9">
                  <c:v>94943000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6-304F-90F6-1A12C3C6AE1E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statement'!$B$93:$K$93</c:f>
              <c:numCache>
                <c:formatCode>"$"#,##0.00</c:formatCode>
                <c:ptCount val="10"/>
                <c:pt idx="0">
                  <c:v>48970000</c:v>
                </c:pt>
                <c:pt idx="1">
                  <c:v>51585000</c:v>
                </c:pt>
                <c:pt idx="2">
                  <c:v>48538000</c:v>
                </c:pt>
                <c:pt idx="3">
                  <c:v>50205000</c:v>
                </c:pt>
                <c:pt idx="4">
                  <c:v>51096000</c:v>
                </c:pt>
                <c:pt idx="5">
                  <c:v>54490000</c:v>
                </c:pt>
                <c:pt idx="6">
                  <c:v>54503000</c:v>
                </c:pt>
                <c:pt idx="7">
                  <c:v>54157000</c:v>
                </c:pt>
                <c:pt idx="8">
                  <c:v>63920000</c:v>
                </c:pt>
                <c:pt idx="9">
                  <c:v>63854000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6-304F-90F6-1A12C3C6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28047"/>
        <c:axId val="335586319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statement'!$B$86:$K$86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statement'!$B$107:$K$107</c:f>
              <c:numCache>
                <c:formatCode>"$"#,##0.00</c:formatCode>
                <c:ptCount val="10"/>
                <c:pt idx="0">
                  <c:v>13831000</c:v>
                </c:pt>
                <c:pt idx="1">
                  <c:v>16323000</c:v>
                </c:pt>
                <c:pt idx="2">
                  <c:v>15409000</c:v>
                </c:pt>
                <c:pt idx="3">
                  <c:v>16540000</c:v>
                </c:pt>
                <c:pt idx="4">
                  <c:v>1300000</c:v>
                </c:pt>
                <c:pt idx="5">
                  <c:v>15297000</c:v>
                </c:pt>
                <c:pt idx="6">
                  <c:v>15119000</c:v>
                </c:pt>
                <c:pt idx="7">
                  <c:v>14714000</c:v>
                </c:pt>
                <c:pt idx="8">
                  <c:v>20878000</c:v>
                </c:pt>
                <c:pt idx="9">
                  <c:v>17941000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6-304F-90F6-1A12C3C6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8047"/>
        <c:axId val="335586319"/>
      </c:lineChart>
      <c:catAx>
        <c:axId val="3358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6319"/>
        <c:crosses val="autoZero"/>
        <c:auto val="1"/>
        <c:lblAlgn val="ctr"/>
        <c:lblOffset val="100"/>
        <c:noMultiLvlLbl val="0"/>
      </c:catAx>
      <c:valAx>
        <c:axId val="335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80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Pfizer 2023 - 2022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statement'!$B$156:$K$156</c:f>
              <c:numCache>
                <c:formatCode>"$"#,##0.00</c:formatCode>
                <c:ptCount val="10"/>
                <c:pt idx="0">
                  <c:v>51584000</c:v>
                </c:pt>
                <c:pt idx="1">
                  <c:v>49605000</c:v>
                </c:pt>
                <c:pt idx="2">
                  <c:v>48851000</c:v>
                </c:pt>
                <c:pt idx="3">
                  <c:v>52824000</c:v>
                </c:pt>
                <c:pt idx="4">
                  <c:v>52546000</c:v>
                </c:pt>
                <c:pt idx="5">
                  <c:v>53647000</c:v>
                </c:pt>
                <c:pt idx="6">
                  <c:v>51750000</c:v>
                </c:pt>
                <c:pt idx="7">
                  <c:v>41908000</c:v>
                </c:pt>
                <c:pt idx="8">
                  <c:v>81288000</c:v>
                </c:pt>
                <c:pt idx="9">
                  <c:v>100330000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C94B-A8B5-AB5C08B6A816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statement'!$B$158:$K$158</c:f>
              <c:numCache>
                <c:formatCode>"$"#,##0.00</c:formatCode>
                <c:ptCount val="10"/>
                <c:pt idx="0">
                  <c:v>41998000</c:v>
                </c:pt>
                <c:pt idx="1">
                  <c:v>40028000</c:v>
                </c:pt>
                <c:pt idx="2">
                  <c:v>39203000</c:v>
                </c:pt>
                <c:pt idx="3">
                  <c:v>40495000</c:v>
                </c:pt>
                <c:pt idx="4">
                  <c:v>41306000</c:v>
                </c:pt>
                <c:pt idx="5">
                  <c:v>42399000</c:v>
                </c:pt>
                <c:pt idx="6">
                  <c:v>41531000</c:v>
                </c:pt>
                <c:pt idx="7">
                  <c:v>33216000</c:v>
                </c:pt>
                <c:pt idx="8">
                  <c:v>50467000</c:v>
                </c:pt>
                <c:pt idx="9">
                  <c:v>65986000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C94B-A8B5-AB5C08B6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12112"/>
        <c:axId val="308985231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statement'!$B$152:$K$152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statement'!$B$176:$K$176</c:f>
              <c:numCache>
                <c:formatCode>"$"#,##0.00</c:formatCode>
                <c:ptCount val="10"/>
                <c:pt idx="0">
                  <c:v>22003000</c:v>
                </c:pt>
                <c:pt idx="1">
                  <c:v>9135000</c:v>
                </c:pt>
                <c:pt idx="2">
                  <c:v>6960000</c:v>
                </c:pt>
                <c:pt idx="3">
                  <c:v>7215000</c:v>
                </c:pt>
                <c:pt idx="4">
                  <c:v>21308000</c:v>
                </c:pt>
                <c:pt idx="5">
                  <c:v>11153000</c:v>
                </c:pt>
                <c:pt idx="6">
                  <c:v>16273000</c:v>
                </c:pt>
                <c:pt idx="7">
                  <c:v>9616000</c:v>
                </c:pt>
                <c:pt idx="8">
                  <c:v>21980000</c:v>
                </c:pt>
                <c:pt idx="9">
                  <c:v>31372000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E-C94B-A8B5-AB5C08B6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12112"/>
        <c:axId val="308985231"/>
      </c:lineChart>
      <c:catAx>
        <c:axId val="17099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85231"/>
        <c:crosses val="autoZero"/>
        <c:auto val="1"/>
        <c:lblAlgn val="ctr"/>
        <c:lblOffset val="100"/>
        <c:noMultiLvlLbl val="0"/>
      </c:catAx>
      <c:valAx>
        <c:axId val="3089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21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 Analysis: Merck 2013 - 2022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statement'!$B$210:$K$210</c:f>
              <c:numCache>
                <c:formatCode>"$"#,##0.00</c:formatCode>
                <c:ptCount val="10"/>
                <c:pt idx="0">
                  <c:v>44033000</c:v>
                </c:pt>
                <c:pt idx="1">
                  <c:v>42237000</c:v>
                </c:pt>
                <c:pt idx="2">
                  <c:v>39498000</c:v>
                </c:pt>
                <c:pt idx="3">
                  <c:v>39807000</c:v>
                </c:pt>
                <c:pt idx="4">
                  <c:v>40122000</c:v>
                </c:pt>
                <c:pt idx="5">
                  <c:v>42294000</c:v>
                </c:pt>
                <c:pt idx="6">
                  <c:v>46840000</c:v>
                </c:pt>
                <c:pt idx="7">
                  <c:v>47994000</c:v>
                </c:pt>
                <c:pt idx="8">
                  <c:v>48704000</c:v>
                </c:pt>
                <c:pt idx="9">
                  <c:v>59283000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9-194A-9D35-FE20143BAA36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statement'!$B$212:$K$212</c:f>
              <c:numCache>
                <c:formatCode>"$"#,##0.00</c:formatCode>
                <c:ptCount val="10"/>
                <c:pt idx="0">
                  <c:v>27079000</c:v>
                </c:pt>
                <c:pt idx="1">
                  <c:v>25469000</c:v>
                </c:pt>
                <c:pt idx="2">
                  <c:v>24564000</c:v>
                </c:pt>
                <c:pt idx="3">
                  <c:v>25916000</c:v>
                </c:pt>
                <c:pt idx="4">
                  <c:v>27347000</c:v>
                </c:pt>
                <c:pt idx="5">
                  <c:v>28785000</c:v>
                </c:pt>
                <c:pt idx="6">
                  <c:v>32728000</c:v>
                </c:pt>
                <c:pt idx="7">
                  <c:v>32509000</c:v>
                </c:pt>
                <c:pt idx="8">
                  <c:v>35078000</c:v>
                </c:pt>
                <c:pt idx="9">
                  <c:v>41872000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9-194A-9D35-FE20143B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02639"/>
        <c:axId val="318382559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statement'!$B$205:$K$205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statement'!$B$230:$K$230</c:f>
              <c:numCache>
                <c:formatCode>"$"#,##0.00</c:formatCode>
                <c:ptCount val="10"/>
                <c:pt idx="0">
                  <c:v>4404000</c:v>
                </c:pt>
                <c:pt idx="1">
                  <c:v>11920000</c:v>
                </c:pt>
                <c:pt idx="2">
                  <c:v>4442000</c:v>
                </c:pt>
                <c:pt idx="3">
                  <c:v>3920000</c:v>
                </c:pt>
                <c:pt idx="4">
                  <c:v>2394000</c:v>
                </c:pt>
                <c:pt idx="5">
                  <c:v>6220000</c:v>
                </c:pt>
                <c:pt idx="6">
                  <c:v>9843000</c:v>
                </c:pt>
                <c:pt idx="7">
                  <c:v>7067000</c:v>
                </c:pt>
                <c:pt idx="8">
                  <c:v>13049000</c:v>
                </c:pt>
                <c:pt idx="9">
                  <c:v>14519000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9-194A-9D35-FE20143B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02639"/>
        <c:axId val="318382559"/>
      </c:lineChart>
      <c:catAx>
        <c:axId val="318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2559"/>
        <c:crosses val="autoZero"/>
        <c:auto val="1"/>
        <c:lblAlgn val="ctr"/>
        <c:lblOffset val="100"/>
        <c:noMultiLvlLbl val="0"/>
      </c:catAx>
      <c:valAx>
        <c:axId val="3183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263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Financial</a:t>
            </a:r>
            <a:r>
              <a:rPr lang="en-US" sz="1800" b="1" baseline="0">
                <a:solidFill>
                  <a:schemeClr val="tx1"/>
                </a:solidFill>
              </a:rPr>
              <a:t> Analysis: Eli Lilly 2013 - 2022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statement'!$B$264:$K$264</c:f>
              <c:numCache>
                <c:formatCode>"$"#,##0.00</c:formatCode>
                <c:ptCount val="10"/>
                <c:pt idx="0">
                  <c:v>23113100</c:v>
                </c:pt>
                <c:pt idx="1">
                  <c:v>19615600</c:v>
                </c:pt>
                <c:pt idx="2">
                  <c:v>19958700</c:v>
                </c:pt>
                <c:pt idx="3">
                  <c:v>21222100</c:v>
                </c:pt>
                <c:pt idx="4">
                  <c:v>22871300</c:v>
                </c:pt>
                <c:pt idx="5">
                  <c:v>24555700</c:v>
                </c:pt>
                <c:pt idx="6">
                  <c:v>22319500</c:v>
                </c:pt>
                <c:pt idx="7">
                  <c:v>24539800</c:v>
                </c:pt>
                <c:pt idx="8">
                  <c:v>28318400</c:v>
                </c:pt>
                <c:pt idx="9">
                  <c:v>28541400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1647-B7E8-D1C141C4129F}"/>
            </c:ext>
          </c:extLst>
        </c:ser>
        <c:ser>
          <c:idx val="1"/>
          <c:order val="1"/>
          <c:tx>
            <c:v>Gross Profit</c:v>
          </c:tx>
          <c:spPr>
            <a:solidFill>
              <a:srgbClr val="1A7FFA"/>
            </a:solidFill>
            <a:ln>
              <a:noFill/>
            </a:ln>
            <a:effectLst/>
          </c:spPr>
          <c:invertIfNegative val="0"/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statement'!$B$266:$K$266</c:f>
              <c:numCache>
                <c:formatCode>"$"#,##0.00</c:formatCode>
                <c:ptCount val="10"/>
                <c:pt idx="0">
                  <c:v>18205000</c:v>
                </c:pt>
                <c:pt idx="1">
                  <c:v>14683100</c:v>
                </c:pt>
                <c:pt idx="2">
                  <c:v>14921500</c:v>
                </c:pt>
                <c:pt idx="3">
                  <c:v>15567200</c:v>
                </c:pt>
                <c:pt idx="4">
                  <c:v>16801100</c:v>
                </c:pt>
                <c:pt idx="5">
                  <c:v>18125700</c:v>
                </c:pt>
                <c:pt idx="6">
                  <c:v>17598300</c:v>
                </c:pt>
                <c:pt idx="7">
                  <c:v>19056500</c:v>
                </c:pt>
                <c:pt idx="8">
                  <c:v>21005600</c:v>
                </c:pt>
                <c:pt idx="9">
                  <c:v>21911600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5-1647-B7E8-D1C141C4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638896"/>
        <c:axId val="808787152"/>
      </c:barChart>
      <c:lineChart>
        <c:grouping val="standard"/>
        <c:varyColors val="0"/>
        <c:ser>
          <c:idx val="2"/>
          <c:order val="2"/>
          <c:tx>
            <c:v>Net Income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'Company_Income statement'!$B$260:$K$260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'Company_Income statement'!$B$282:$K$282</c:f>
              <c:numCache>
                <c:formatCode>"$"#,##0.00</c:formatCode>
                <c:ptCount val="10"/>
                <c:pt idx="0">
                  <c:v>4684800</c:v>
                </c:pt>
                <c:pt idx="1">
                  <c:v>2390500</c:v>
                </c:pt>
                <c:pt idx="2">
                  <c:v>2408400</c:v>
                </c:pt>
                <c:pt idx="3">
                  <c:v>2737600</c:v>
                </c:pt>
                <c:pt idx="4">
                  <c:v>-204100</c:v>
                </c:pt>
                <c:pt idx="5">
                  <c:v>3232000</c:v>
                </c:pt>
                <c:pt idx="6">
                  <c:v>8318400</c:v>
                </c:pt>
                <c:pt idx="7">
                  <c:v>6193700</c:v>
                </c:pt>
                <c:pt idx="8">
                  <c:v>5581700</c:v>
                </c:pt>
                <c:pt idx="9">
                  <c:v>6244800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5-1647-B7E8-D1C141C4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38896"/>
        <c:axId val="808787152"/>
      </c:lineChart>
      <c:catAx>
        <c:axId val="8086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87152"/>
        <c:crosses val="autoZero"/>
        <c:auto val="1"/>
        <c:lblAlgn val="ctr"/>
        <c:lblOffset val="100"/>
        <c:noMultiLvlLbl val="0"/>
      </c:catAx>
      <c:valAx>
        <c:axId val="8087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388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Direct Costs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in Total Revenue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CS_IS!$A$11</c:f>
              <c:strCache>
                <c:ptCount val="1"/>
                <c:pt idx="0">
                  <c:v>Direct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CS_IS!$B$8:$K$8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CS_IS!$B$11:$K$11</c:f>
              <c:numCache>
                <c:formatCode>0%</c:formatCode>
                <c:ptCount val="10"/>
                <c:pt idx="0">
                  <c:v>0.31329930446488669</c:v>
                </c:pt>
                <c:pt idx="1">
                  <c:v>0.30600960568268959</c:v>
                </c:pt>
                <c:pt idx="2">
                  <c:v>0.30733224876559068</c:v>
                </c:pt>
                <c:pt idx="3">
                  <c:v>0.30164139657810546</c:v>
                </c:pt>
                <c:pt idx="4">
                  <c:v>0.33164159581425767</c:v>
                </c:pt>
                <c:pt idx="5">
                  <c:v>0.33207487037422928</c:v>
                </c:pt>
                <c:pt idx="6">
                  <c:v>0.33580716313871728</c:v>
                </c:pt>
                <c:pt idx="7">
                  <c:v>0.34421921921921922</c:v>
                </c:pt>
                <c:pt idx="8">
                  <c:v>0.31836843508397761</c:v>
                </c:pt>
                <c:pt idx="9">
                  <c:v>0.32744910103957109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8-4538-8D67-F513BF06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60847"/>
        <c:axId val="924780943"/>
      </c:barChart>
      <c:catAx>
        <c:axId val="9253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0943"/>
        <c:crosses val="autoZero"/>
        <c:auto val="1"/>
        <c:lblAlgn val="ctr"/>
        <c:lblOffset val="100"/>
        <c:noMultiLvlLbl val="0"/>
      </c:catAx>
      <c:valAx>
        <c:axId val="924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CS_IS!$A$26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CS_IS!$B$8:$K$8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CS_IS!$B$26:$K$26</c:f>
              <c:numCache>
                <c:formatCode>0%</c:formatCode>
                <c:ptCount val="10"/>
                <c:pt idx="0">
                  <c:v>0.19395052726048911</c:v>
                </c:pt>
                <c:pt idx="1">
                  <c:v>0.21959882148767002</c:v>
                </c:pt>
                <c:pt idx="2">
                  <c:v>0.21989610982675456</c:v>
                </c:pt>
                <c:pt idx="3">
                  <c:v>0.23007372374460983</c:v>
                </c:pt>
                <c:pt idx="4">
                  <c:v>1.7004578155657292E-2</c:v>
                </c:pt>
                <c:pt idx="5">
                  <c:v>0.18750689498780354</c:v>
                </c:pt>
                <c:pt idx="6">
                  <c:v>0.18424548190935791</c:v>
                </c:pt>
                <c:pt idx="7">
                  <c:v>0.17817010558946042</c:v>
                </c:pt>
                <c:pt idx="8">
                  <c:v>0.22263929618768327</c:v>
                </c:pt>
                <c:pt idx="9">
                  <c:v>0.18896601118565876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0E4-81D3-1055839B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240207"/>
        <c:axId val="1073149439"/>
      </c:barChart>
      <c:catAx>
        <c:axId val="9242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9439"/>
        <c:crosses val="autoZero"/>
        <c:auto val="1"/>
        <c:lblAlgn val="ctr"/>
        <c:lblOffset val="100"/>
        <c:noMultiLvlLbl val="0"/>
      </c:catAx>
      <c:valAx>
        <c:axId val="1073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Main Indirect Cost Percentage in Total Revenue</a:t>
            </a:r>
          </a:p>
        </c:rich>
      </c:tx>
      <c:layout>
        <c:manualLayout>
          <c:xMode val="edge"/>
          <c:yMode val="edge"/>
          <c:x val="0.16880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CS_IS!$A$13</c:f>
              <c:strCache>
                <c:ptCount val="1"/>
                <c:pt idx="0">
                  <c:v>Selling General &amp;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CS_IS!$B$8:$K$8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CS_IS!$B$13:$K$13</c:f>
              <c:numCache>
                <c:formatCode>0%</c:formatCode>
                <c:ptCount val="10"/>
                <c:pt idx="0">
                  <c:v>0.30611958716625531</c:v>
                </c:pt>
                <c:pt idx="1">
                  <c:v>0.29535456269927757</c:v>
                </c:pt>
                <c:pt idx="2">
                  <c:v>0.30258012957730401</c:v>
                </c:pt>
                <c:pt idx="3">
                  <c:v>0.2774377521212964</c:v>
                </c:pt>
                <c:pt idx="4">
                  <c:v>0.28018312622629171</c:v>
                </c:pt>
                <c:pt idx="5">
                  <c:v>0.27628982238511418</c:v>
                </c:pt>
                <c:pt idx="6">
                  <c:v>0.27026895282662472</c:v>
                </c:pt>
                <c:pt idx="7">
                  <c:v>0.26741257386418676</c:v>
                </c:pt>
                <c:pt idx="8">
                  <c:v>0.26295921087709945</c:v>
                </c:pt>
                <c:pt idx="9">
                  <c:v>0.26084071495528899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476B-A26B-EF0BFE3BFF32}"/>
            </c:ext>
          </c:extLst>
        </c:ser>
        <c:ser>
          <c:idx val="1"/>
          <c:order val="1"/>
          <c:tx>
            <c:strRef>
              <c:f>CS_IS!$A$14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CS_IS!$B$8:$K$8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CS_IS!$B$14:$K$14</c:f>
              <c:numCache>
                <c:formatCode>0%</c:formatCode>
                <c:ptCount val="10"/>
                <c:pt idx="0">
                  <c:v>0.1228825443123177</c:v>
                </c:pt>
                <c:pt idx="1">
                  <c:v>0.11666733933352168</c:v>
                </c:pt>
                <c:pt idx="2">
                  <c:v>0.13228872334960184</c:v>
                </c:pt>
                <c:pt idx="3">
                  <c:v>0.12691612185283072</c:v>
                </c:pt>
                <c:pt idx="4">
                  <c:v>0.14338783518639633</c:v>
                </c:pt>
                <c:pt idx="5">
                  <c:v>0.14587955528860888</c:v>
                </c:pt>
                <c:pt idx="6">
                  <c:v>0.14922190131490756</c:v>
                </c:pt>
                <c:pt idx="7">
                  <c:v>0.14942361716555264</c:v>
                </c:pt>
                <c:pt idx="8">
                  <c:v>0.16650493201812849</c:v>
                </c:pt>
                <c:pt idx="9">
                  <c:v>0.16205512781353024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C-476B-A26B-EF0BFE3B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662495"/>
        <c:axId val="878983583"/>
      </c:barChart>
      <c:catAx>
        <c:axId val="8806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83583"/>
        <c:crosses val="autoZero"/>
        <c:auto val="1"/>
        <c:lblAlgn val="ctr"/>
        <c:lblOffset val="100"/>
        <c:noMultiLvlLbl val="0"/>
      </c:catAx>
      <c:valAx>
        <c:axId val="878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Net Property Plant &amp; Equip vs Total Current Assets vs Total Liabilities and Total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BS!$A$25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BS!$B$25:$K$25</c:f>
              <c:numCache>
                <c:formatCode>"$"#,##0.00</c:formatCode>
                <c:ptCount val="10"/>
                <c:pt idx="0">
                  <c:v>16710</c:v>
                </c:pt>
                <c:pt idx="1">
                  <c:v>16126</c:v>
                </c:pt>
                <c:pt idx="2">
                  <c:v>15905</c:v>
                </c:pt>
                <c:pt idx="3">
                  <c:v>15912</c:v>
                </c:pt>
                <c:pt idx="4">
                  <c:v>17005</c:v>
                </c:pt>
                <c:pt idx="5">
                  <c:v>17035</c:v>
                </c:pt>
                <c:pt idx="6">
                  <c:v>17658</c:v>
                </c:pt>
                <c:pt idx="7">
                  <c:v>18766</c:v>
                </c:pt>
                <c:pt idx="8">
                  <c:v>18962</c:v>
                </c:pt>
                <c:pt idx="9">
                  <c:v>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8-A348-AD36-F5EB1689F5BD}"/>
            </c:ext>
          </c:extLst>
        </c:ser>
        <c:ser>
          <c:idx val="0"/>
          <c:order val="1"/>
          <c:tx>
            <c:strRef>
              <c:f>BS!$A$22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BS!$B$22:$K$22</c:f>
              <c:numCache>
                <c:formatCode>"$"#,##0.00</c:formatCode>
                <c:ptCount val="10"/>
                <c:pt idx="0">
                  <c:v>56407</c:v>
                </c:pt>
                <c:pt idx="1">
                  <c:v>59311</c:v>
                </c:pt>
                <c:pt idx="2">
                  <c:v>60210</c:v>
                </c:pt>
                <c:pt idx="3">
                  <c:v>65032</c:v>
                </c:pt>
                <c:pt idx="4">
                  <c:v>43088</c:v>
                </c:pt>
                <c:pt idx="5">
                  <c:v>46033</c:v>
                </c:pt>
                <c:pt idx="6">
                  <c:v>45274</c:v>
                </c:pt>
                <c:pt idx="7">
                  <c:v>51237</c:v>
                </c:pt>
                <c:pt idx="8">
                  <c:v>60979</c:v>
                </c:pt>
                <c:pt idx="9">
                  <c:v>55294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E-4D54-9129-1EA35E28052F}"/>
            </c:ext>
          </c:extLst>
        </c:ser>
        <c:ser>
          <c:idx val="2"/>
          <c:order val="2"/>
          <c:tx>
            <c:strRef>
              <c:f>BS!$A$48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BS!$B$48:$K$48</c:f>
              <c:numCache>
                <c:formatCode>"$"#,##0.00</c:formatCode>
                <c:ptCount val="10"/>
                <c:pt idx="0">
                  <c:v>74053</c:v>
                </c:pt>
                <c:pt idx="1">
                  <c:v>69752</c:v>
                </c:pt>
                <c:pt idx="2">
                  <c:v>71150</c:v>
                </c:pt>
                <c:pt idx="3">
                  <c:v>70418</c:v>
                </c:pt>
                <c:pt idx="4">
                  <c:v>60160</c:v>
                </c:pt>
                <c:pt idx="5">
                  <c:v>59752</c:v>
                </c:pt>
                <c:pt idx="6">
                  <c:v>59471</c:v>
                </c:pt>
                <c:pt idx="7">
                  <c:v>63278</c:v>
                </c:pt>
                <c:pt idx="8">
                  <c:v>74023</c:v>
                </c:pt>
                <c:pt idx="9">
                  <c:v>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E-4D54-9129-1EA35E28052F}"/>
            </c:ext>
          </c:extLst>
        </c:ser>
        <c:ser>
          <c:idx val="1"/>
          <c:order val="3"/>
          <c:tx>
            <c:strRef>
              <c:f>BS!$A$41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BS!$B$41:$K$41</c:f>
              <c:numCache>
                <c:formatCode>"$"#,##0.00</c:formatCode>
                <c:ptCount val="10"/>
                <c:pt idx="0">
                  <c:v>58630</c:v>
                </c:pt>
                <c:pt idx="1">
                  <c:v>61367</c:v>
                </c:pt>
                <c:pt idx="2">
                  <c:v>62261</c:v>
                </c:pt>
                <c:pt idx="3">
                  <c:v>70790</c:v>
                </c:pt>
                <c:pt idx="4">
                  <c:v>97143</c:v>
                </c:pt>
                <c:pt idx="5">
                  <c:v>93202</c:v>
                </c:pt>
                <c:pt idx="6">
                  <c:v>98257</c:v>
                </c:pt>
                <c:pt idx="7">
                  <c:v>111616</c:v>
                </c:pt>
                <c:pt idx="8">
                  <c:v>107995</c:v>
                </c:pt>
                <c:pt idx="9">
                  <c:v>110574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E-4D54-9129-1EA35E28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2127"/>
        <c:axId val="1048414959"/>
      </c:barChart>
      <c:catAx>
        <c:axId val="98789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9501312335957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4959"/>
        <c:crosses val="autoZero"/>
        <c:auto val="1"/>
        <c:lblAlgn val="ctr"/>
        <c:lblOffset val="100"/>
        <c:noMultiLvlLbl val="0"/>
      </c:catAx>
      <c:valAx>
        <c:axId val="10484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(USD)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66703120443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BS!$A$29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BS!$B$10:$K$10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BS!$B$29:$K$29</c:f>
              <c:numCache>
                <c:formatCode>"$"#,##0.00</c:formatCode>
                <c:ptCount val="10"/>
                <c:pt idx="0">
                  <c:v>132683</c:v>
                </c:pt>
                <c:pt idx="1">
                  <c:v>131119</c:v>
                </c:pt>
                <c:pt idx="2">
                  <c:v>133411</c:v>
                </c:pt>
                <c:pt idx="3">
                  <c:v>141208</c:v>
                </c:pt>
                <c:pt idx="4">
                  <c:v>157303</c:v>
                </c:pt>
                <c:pt idx="5">
                  <c:v>152954</c:v>
                </c:pt>
                <c:pt idx="6">
                  <c:v>157728</c:v>
                </c:pt>
                <c:pt idx="7">
                  <c:v>174894</c:v>
                </c:pt>
                <c:pt idx="8">
                  <c:v>182018</c:v>
                </c:pt>
                <c:pt idx="9">
                  <c:v>187378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A-4029-94E3-DF92535F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4031"/>
        <c:axId val="1073149935"/>
      </c:barChart>
      <c:catAx>
        <c:axId val="9326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9935"/>
        <c:crosses val="autoZero"/>
        <c:auto val="1"/>
        <c:lblAlgn val="ctr"/>
        <c:lblOffset val="100"/>
        <c:noMultiLvlLbl val="0"/>
      </c:catAx>
      <c:valAx>
        <c:axId val="10731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Millions(USD)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Percentage of Net Fixed Assets in Total Assets</a:t>
            </a:r>
          </a:p>
        </c:rich>
      </c:tx>
      <c:layout>
        <c:manualLayout>
          <c:xMode val="edge"/>
          <c:yMode val="edge"/>
          <c:x val="0.184617891513560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CS_BS!$A$22</c:f>
              <c:strCache>
                <c:ptCount val="1"/>
                <c:pt idx="0">
                  <c:v>Net Property Plant &amp; Equip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CS_BS!$B$22:$K$22</c:f>
              <c:numCache>
                <c:formatCode>0.00%</c:formatCode>
                <c:ptCount val="10"/>
                <c:pt idx="0">
                  <c:v>0.12593926878349149</c:v>
                </c:pt>
                <c:pt idx="1">
                  <c:v>0.12298751515798625</c:v>
                </c:pt>
                <c:pt idx="2">
                  <c:v>0.11921805548268134</c:v>
                </c:pt>
                <c:pt idx="3">
                  <c:v>0.1126848337204691</c:v>
                </c:pt>
                <c:pt idx="4">
                  <c:v>0.10810346910103431</c:v>
                </c:pt>
                <c:pt idx="5">
                  <c:v>0.11137335408031172</c:v>
                </c:pt>
                <c:pt idx="6">
                  <c:v>0.11195222154595252</c:v>
                </c:pt>
                <c:pt idx="7">
                  <c:v>0.10729927842007159</c:v>
                </c:pt>
                <c:pt idx="8">
                  <c:v>0.10417651001549297</c:v>
                </c:pt>
                <c:pt idx="9">
                  <c:v>0.10568476555412054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B27-B566-4A8D58BC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642815"/>
        <c:axId val="1073153407"/>
      </c:barChart>
      <c:catAx>
        <c:axId val="8806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3407"/>
        <c:crosses val="autoZero"/>
        <c:auto val="1"/>
        <c:lblAlgn val="ctr"/>
        <c:lblOffset val="100"/>
        <c:noMultiLvlLbl val="0"/>
      </c:catAx>
      <c:valAx>
        <c:axId val="10731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The</a:t>
            </a:r>
            <a:r>
              <a:rPr lang="en-US" altLang="zh-CN" sz="1200" baseline="0"/>
              <a:t> Percentage of </a:t>
            </a:r>
            <a:r>
              <a:rPr lang="en-US" altLang="zh-CN" sz="1200"/>
              <a:t>Total Current Assets in Total</a:t>
            </a:r>
            <a:r>
              <a:rPr lang="en-US" altLang="zh-CN" sz="1200" baseline="0"/>
              <a:t> Assets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CS_BS!$A$19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CS_BS!$B$7:$K$7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CS_BS!$B$19:$K$19</c:f>
              <c:numCache>
                <c:formatCode>0.00%</c:formatCode>
                <c:ptCount val="10"/>
                <c:pt idx="0">
                  <c:v>0.42512605232019174</c:v>
                </c:pt>
                <c:pt idx="1">
                  <c:v>0.45234481654069969</c:v>
                </c:pt>
                <c:pt idx="2">
                  <c:v>0.45131211069551985</c:v>
                </c:pt>
                <c:pt idx="3">
                  <c:v>0.46054047929295788</c:v>
                </c:pt>
                <c:pt idx="4">
                  <c:v>0.27391721709058314</c:v>
                </c:pt>
                <c:pt idx="5">
                  <c:v>0.30095976568118521</c:v>
                </c:pt>
                <c:pt idx="6">
                  <c:v>0.28703844593223776</c:v>
                </c:pt>
                <c:pt idx="7">
                  <c:v>0.29296030738618822</c:v>
                </c:pt>
                <c:pt idx="8">
                  <c:v>0.33501631706754276</c:v>
                </c:pt>
                <c:pt idx="9">
                  <c:v>0.29509334073370408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4-48A7-99FA-7E6FEBCD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4047"/>
        <c:axId val="924773503"/>
      </c:barChart>
      <c:catAx>
        <c:axId val="9878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3503"/>
        <c:crosses val="autoZero"/>
        <c:auto val="1"/>
        <c:lblAlgn val="ctr"/>
        <c:lblOffset val="100"/>
        <c:noMultiLvlLbl val="0"/>
      </c:catAx>
      <c:valAx>
        <c:axId val="9247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1.png"/><Relationship Id="rId7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5.png"/><Relationship Id="rId11" Type="http://schemas.openxmlformats.org/officeDocument/2006/relationships/chart" Target="../charts/chart23.xml"/><Relationship Id="rId5" Type="http://schemas.openxmlformats.org/officeDocument/2006/relationships/image" Target="../media/image4.png"/><Relationship Id="rId10" Type="http://schemas.openxmlformats.org/officeDocument/2006/relationships/chart" Target="../charts/chart22.xml"/><Relationship Id="rId4" Type="http://schemas.openxmlformats.org/officeDocument/2006/relationships/image" Target="../media/image3.png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909320</xdr:colOff>
      <xdr:row>8</xdr:row>
      <xdr:rowOff>5080</xdr:rowOff>
    </xdr:from>
    <xdr:to>
      <xdr:col>18</xdr:col>
      <xdr:colOff>452120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D175B-A024-4845-A84F-1277364B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</xdr:colOff>
      <xdr:row>22</xdr:row>
      <xdr:rowOff>104140</xdr:rowOff>
    </xdr:from>
    <xdr:to>
      <xdr:col>18</xdr:col>
      <xdr:colOff>444500</xdr:colOff>
      <xdr:row>40</xdr:row>
      <xdr:rowOff>27940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5F70E-2B23-226D-2992-E758BDCA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A2BBECDA-4033-8B44-AD7C-238A3C07F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909320</xdr:colOff>
      <xdr:row>12</xdr:row>
      <xdr:rowOff>5080</xdr:rowOff>
    </xdr:from>
    <xdr:to>
      <xdr:col>18</xdr:col>
      <xdr:colOff>452120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2D997-7CB9-B441-96D2-A6ABC835C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</xdr:colOff>
      <xdr:row>26</xdr:row>
      <xdr:rowOff>104140</xdr:rowOff>
    </xdr:from>
    <xdr:to>
      <xdr:col>18</xdr:col>
      <xdr:colOff>444500</xdr:colOff>
      <xdr:row>42</xdr:row>
      <xdr:rowOff>27940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8E6B7-99EE-2145-BE6E-EB01FE66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4" name="Logo" descr="Logo">
          <a:extLst>
            <a:ext uri="{FF2B5EF4-FFF2-40B4-BE49-F238E27FC236}">
              <a16:creationId xmlns:a16="http://schemas.microsoft.com/office/drawing/2014/main" id="{CEF4C44E-C830-D349-8720-517EBF78F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141</xdr:row>
      <xdr:rowOff>0</xdr:rowOff>
    </xdr:from>
    <xdr:ext cx="476250" cy="476250"/>
    <xdr:pic>
      <xdr:nvPicPr>
        <xdr:cNvPr id="5" name="Logo" descr="Logo">
          <a:extLst>
            <a:ext uri="{FF2B5EF4-FFF2-40B4-BE49-F238E27FC236}">
              <a16:creationId xmlns:a16="http://schemas.microsoft.com/office/drawing/2014/main" id="{7BAE8547-826A-CB49-B228-B4F7E9571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3310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195</xdr:row>
      <xdr:rowOff>0</xdr:rowOff>
    </xdr:from>
    <xdr:ext cx="476250" cy="476250"/>
    <xdr:pic>
      <xdr:nvPicPr>
        <xdr:cNvPr id="6" name="Logo" descr="Logo">
          <a:extLst>
            <a:ext uri="{FF2B5EF4-FFF2-40B4-BE49-F238E27FC236}">
              <a16:creationId xmlns:a16="http://schemas.microsoft.com/office/drawing/2014/main" id="{FCD4A711-021A-4B4A-A248-E7E5F5C93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57550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250</xdr:row>
      <xdr:rowOff>0</xdr:rowOff>
    </xdr:from>
    <xdr:ext cx="476250" cy="476250"/>
    <xdr:pic>
      <xdr:nvPicPr>
        <xdr:cNvPr id="7" name="Logo" descr="Logo">
          <a:extLst>
            <a:ext uri="{FF2B5EF4-FFF2-40B4-BE49-F238E27FC236}">
              <a16:creationId xmlns:a16="http://schemas.microsoft.com/office/drawing/2014/main" id="{689BC5A4-03D2-0E46-A4D9-C9DA6410E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795700"/>
          <a:ext cx="476250" cy="476250"/>
        </a:xfrm>
        <a:prstGeom prst="rect">
          <a:avLst/>
        </a:prstGeom>
      </xdr:spPr>
    </xdr:pic>
    <xdr:clientData/>
  </xdr:oneCellAnchor>
  <xdr:twoCellAnchor>
    <xdr:from>
      <xdr:col>13</xdr:col>
      <xdr:colOff>19050</xdr:colOff>
      <xdr:row>72</xdr:row>
      <xdr:rowOff>12700</xdr:rowOff>
    </xdr:from>
    <xdr:to>
      <xdr:col>19</xdr:col>
      <xdr:colOff>50800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119B2-2C9B-DE4F-A280-4FCBFCEC1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0</xdr:colOff>
      <xdr:row>73</xdr:row>
      <xdr:rowOff>0</xdr:rowOff>
    </xdr:from>
    <xdr:ext cx="476250" cy="476250"/>
    <xdr:pic>
      <xdr:nvPicPr>
        <xdr:cNvPr id="9" name="Logo" descr="Logo">
          <a:extLst>
            <a:ext uri="{FF2B5EF4-FFF2-40B4-BE49-F238E27FC236}">
              <a16:creationId xmlns:a16="http://schemas.microsoft.com/office/drawing/2014/main" id="{D37C7722-7B37-5E41-B786-2F89635D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79300"/>
          <a:ext cx="476250" cy="476250"/>
        </a:xfrm>
        <a:prstGeom prst="rect">
          <a:avLst/>
        </a:prstGeom>
      </xdr:spPr>
    </xdr:pic>
    <xdr:clientData/>
  </xdr:oneCellAnchor>
  <xdr:twoCellAnchor>
    <xdr:from>
      <xdr:col>13</xdr:col>
      <xdr:colOff>25400</xdr:colOff>
      <xdr:row>94</xdr:row>
      <xdr:rowOff>76200</xdr:rowOff>
    </xdr:from>
    <xdr:to>
      <xdr:col>19</xdr:col>
      <xdr:colOff>63500</xdr:colOff>
      <xdr:row>115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C3C389-8CD3-1447-A72E-F204DA6B8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869950</xdr:colOff>
      <xdr:row>116</xdr:row>
      <xdr:rowOff>146050</xdr:rowOff>
    </xdr:from>
    <xdr:to>
      <xdr:col>18</xdr:col>
      <xdr:colOff>901700</xdr:colOff>
      <xdr:row>137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FE47B5-FE99-6B45-8B3A-9018E44A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138</xdr:row>
      <xdr:rowOff>69850</xdr:rowOff>
    </xdr:from>
    <xdr:to>
      <xdr:col>19</xdr:col>
      <xdr:colOff>38100</xdr:colOff>
      <xdr:row>157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5A3C0B-008C-8441-8405-E623F22B7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6350</xdr:colOff>
      <xdr:row>159</xdr:row>
      <xdr:rowOff>44450</xdr:rowOff>
    </xdr:from>
    <xdr:to>
      <xdr:col>19</xdr:col>
      <xdr:colOff>38100</xdr:colOff>
      <xdr:row>179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BB4540-7B18-AB49-A540-71DF4234B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0.05639</cdr:x>
      <cdr:y>0.18774</cdr:y>
    </cdr:from>
    <cdr:to>
      <cdr:x>0.11162</cdr:x>
      <cdr:y>0.44061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4C66F6-47C2-64A1-738B-AD361D90A308}"/>
            </a:ext>
          </a:extLst>
        </cdr:cNvPr>
        <cdr:cNvSpPr txBox="1"/>
      </cdr:nvSpPr>
      <cdr:spPr>
        <a:xfrm xmlns:a="http://schemas.openxmlformats.org/drawingml/2006/main" rot="16200000">
          <a:off x="44450" y="889000"/>
          <a:ext cx="838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Millions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1</xdr:row>
      <xdr:rowOff>134620</xdr:rowOff>
    </xdr:from>
    <xdr:to>
      <xdr:col>20</xdr:col>
      <xdr:colOff>500380</xdr:colOff>
      <xdr:row>17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08194-1999-9EA2-88DC-60F12EC3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200660</xdr:colOff>
      <xdr:row>18</xdr:row>
      <xdr:rowOff>96520</xdr:rowOff>
    </xdr:from>
    <xdr:to>
      <xdr:col>20</xdr:col>
      <xdr:colOff>508000</xdr:colOff>
      <xdr:row>34</xdr:row>
      <xdr:rowOff>154940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3BB95-DD5E-A114-6419-D942F1747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39</xdr:row>
      <xdr:rowOff>160020</xdr:rowOff>
    </xdr:from>
    <xdr:to>
      <xdr:col>20</xdr:col>
      <xdr:colOff>317500</xdr:colOff>
      <xdr:row>56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36932A-7235-4AB1-4170-BC48BD48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6" name="Logo" descr="Logo">
          <a:extLst>
            <a:ext uri="{FF2B5EF4-FFF2-40B4-BE49-F238E27FC236}">
              <a16:creationId xmlns:a16="http://schemas.microsoft.com/office/drawing/2014/main" id="{1E3779B4-8568-E24E-BA32-5CB6DA285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304800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1863-ACBC-F641-150B-B866B25CC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23</xdr:row>
      <xdr:rowOff>93980</xdr:rowOff>
    </xdr:from>
    <xdr:to>
      <xdr:col>19</xdr:col>
      <xdr:colOff>317500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E12AE-27F9-342D-F6A9-B3C1E1C0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4" name="Logo" descr="Logo">
          <a:extLst>
            <a:ext uri="{FF2B5EF4-FFF2-40B4-BE49-F238E27FC236}">
              <a16:creationId xmlns:a16="http://schemas.microsoft.com/office/drawing/2014/main" id="{222D4FA9-71AA-8840-A055-855AA369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6</xdr:row>
      <xdr:rowOff>20320</xdr:rowOff>
    </xdr:from>
    <xdr:to>
      <xdr:col>19</xdr:col>
      <xdr:colOff>368300</xdr:colOff>
      <xdr:row>18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71148-733E-AB67-816C-A824D3E7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18</xdr:row>
      <xdr:rowOff>96520</xdr:rowOff>
    </xdr:from>
    <xdr:to>
      <xdr:col>19</xdr:col>
      <xdr:colOff>378460</xdr:colOff>
      <xdr:row>34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DA11B-79DA-3A7C-A67C-20303CDA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</xdr:colOff>
      <xdr:row>35</xdr:row>
      <xdr:rowOff>30480</xdr:rowOff>
    </xdr:from>
    <xdr:to>
      <xdr:col>19</xdr:col>
      <xdr:colOff>406400</xdr:colOff>
      <xdr:row>53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786BE-2913-F648-8BA1-1BD37BFC8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5" name="Logo" descr="Logo">
          <a:extLst>
            <a:ext uri="{FF2B5EF4-FFF2-40B4-BE49-F238E27FC236}">
              <a16:creationId xmlns:a16="http://schemas.microsoft.com/office/drawing/2014/main" id="{F9B3A032-C52F-0B43-BB21-AEAE40B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20</xdr:col>
      <xdr:colOff>0</xdr:colOff>
      <xdr:row>6</xdr:row>
      <xdr:rowOff>0</xdr:rowOff>
    </xdr:from>
    <xdr:to>
      <xdr:col>27</xdr:col>
      <xdr:colOff>334433</xdr:colOff>
      <xdr:row>19</xdr:row>
      <xdr:rowOff>117687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D9A96-1577-A14A-A933-7C83E2FA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0</xdr:rowOff>
    </xdr:from>
    <xdr:ext cx="476250" cy="476250"/>
    <xdr:pic>
      <xdr:nvPicPr>
        <xdr:cNvPr id="4" name="Logo" descr="Logo">
          <a:extLst>
            <a:ext uri="{FF2B5EF4-FFF2-40B4-BE49-F238E27FC236}">
              <a16:creationId xmlns:a16="http://schemas.microsoft.com/office/drawing/2014/main" id="{5037BB51-E02F-4CD5-B4AA-24C333D82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0"/>
          <a:ext cx="476250" cy="4762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3" name="Logo" descr="Logo">
          <a:extLst>
            <a:ext uri="{FF2B5EF4-FFF2-40B4-BE49-F238E27FC236}">
              <a16:creationId xmlns:a16="http://schemas.microsoft.com/office/drawing/2014/main" id="{43AD484B-C56C-AA45-8AEB-DC166B9A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3</xdr:row>
      <xdr:rowOff>137160</xdr:rowOff>
    </xdr:from>
    <xdr:to>
      <xdr:col>21</xdr:col>
      <xdr:colOff>281940</xdr:colOff>
      <xdr:row>19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96D575-5DAD-46D2-F30A-9EE7B3058C8B}"/>
            </a:ext>
          </a:extLst>
        </xdr:cNvPr>
        <xdr:cNvSpPr txBox="1"/>
      </xdr:nvSpPr>
      <xdr:spPr>
        <a:xfrm>
          <a:off x="12039600" y="640080"/>
          <a:ext cx="2567940" cy="2354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CF growth go down   WACC go up</a:t>
          </a:r>
        </a:p>
        <a:p>
          <a:r>
            <a:rPr lang="en-US" altLang="zh-CN" sz="1100"/>
            <a:t> </a:t>
          </a:r>
        </a:p>
        <a:p>
          <a:r>
            <a:rPr lang="en-US" altLang="zh-CN" sz="1100"/>
            <a:t>1.revenue growth  go down will go down</a:t>
          </a:r>
        </a:p>
        <a:p>
          <a:r>
            <a:rPr lang="en-US" altLang="zh-CN" sz="1100"/>
            <a:t>2. direct cost go up  will go down</a:t>
          </a:r>
        </a:p>
        <a:p>
          <a:r>
            <a:rPr lang="en-US" altLang="zh-CN" sz="1100"/>
            <a:t>3. RD go up will go down</a:t>
          </a:r>
        </a:p>
        <a:p>
          <a:r>
            <a:rPr lang="en-US" altLang="zh-CN" sz="1100"/>
            <a:t>4. SGA go up will go down</a:t>
          </a:r>
        </a:p>
        <a:p>
          <a:r>
            <a:rPr lang="en-US" altLang="zh-CN" sz="1100"/>
            <a:t>5. cash go up will go down</a:t>
          </a:r>
        </a:p>
        <a:p>
          <a:r>
            <a:rPr lang="en-US" altLang="zh-CN" sz="1100"/>
            <a:t>6. AR go up will go down</a:t>
          </a:r>
        </a:p>
        <a:p>
          <a:r>
            <a:rPr lang="en-US" altLang="zh-CN" sz="1100"/>
            <a:t>7. Other cur assets go up will go down</a:t>
          </a:r>
        </a:p>
        <a:p>
          <a:r>
            <a:rPr lang="en-US" altLang="zh-CN" sz="1100"/>
            <a:t>8.fixed assets go up will go down</a:t>
          </a:r>
        </a:p>
        <a:p>
          <a:r>
            <a:rPr lang="en-US" altLang="zh-CN" sz="1100"/>
            <a:t>9. AP. Acr Exp etc go down will go down</a:t>
          </a:r>
        </a:p>
        <a:p>
          <a:endParaRPr lang="zh-CN" altLang="en-US" sz="1100"/>
        </a:p>
      </xdr:txBody>
    </xdr:sp>
    <xdr:clientData/>
  </xdr:twoCellAnchor>
  <xdr:twoCellAnchor>
    <xdr:from>
      <xdr:col>13</xdr:col>
      <xdr:colOff>533400</xdr:colOff>
      <xdr:row>32</xdr:row>
      <xdr:rowOff>58420</xdr:rowOff>
    </xdr:from>
    <xdr:to>
      <xdr:col>17</xdr:col>
      <xdr:colOff>662940</xdr:colOff>
      <xdr:row>44</xdr:row>
      <xdr:rowOff>86360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9A2F45-593F-C04C-B52E-7BF770A3A100}"/>
            </a:ext>
          </a:extLst>
        </xdr:cNvPr>
        <xdr:cNvSpPr txBox="1"/>
      </xdr:nvSpPr>
      <xdr:spPr>
        <a:xfrm>
          <a:off x="13347700" y="5392420"/>
          <a:ext cx="3114040" cy="200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Perpetual CF growth rate is usually a conservative growth rate.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During the 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 10 years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average Free Cash Flow per Share Growth Rate was 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3.90%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 year.</a:t>
          </a:r>
        </a:p>
      </xdr:txBody>
    </xdr:sp>
    <xdr:clientData/>
  </xdr:twoCellAnchor>
  <xdr:twoCellAnchor>
    <xdr:from>
      <xdr:col>13</xdr:col>
      <xdr:colOff>381000</xdr:colOff>
      <xdr:row>21</xdr:row>
      <xdr:rowOff>0</xdr:rowOff>
    </xdr:from>
    <xdr:to>
      <xdr:col>16</xdr:col>
      <xdr:colOff>571500</xdr:colOff>
      <xdr:row>29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03715E-6C09-ECA3-025C-D4D71C7A67AF}"/>
            </a:ext>
          </a:extLst>
        </xdr:cNvPr>
        <xdr:cNvSpPr txBox="1"/>
      </xdr:nvSpPr>
      <xdr:spPr>
        <a:xfrm>
          <a:off x="13195300" y="3136900"/>
          <a:ext cx="25019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*Market risk premium = Expected return - risk free rate = 12.39% - </a:t>
          </a:r>
        </a:p>
      </xdr:txBody>
    </xdr:sp>
    <xdr:clientData/>
  </xdr:twoCellAnchor>
  <xdr:twoCellAnchor>
    <xdr:from>
      <xdr:col>20</xdr:col>
      <xdr:colOff>292100</xdr:colOff>
      <xdr:row>22</xdr:row>
      <xdr:rowOff>6350</xdr:rowOff>
    </xdr:from>
    <xdr:to>
      <xdr:col>26</xdr:col>
      <xdr:colOff>368300</xdr:colOff>
      <xdr:row>44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DDF20-4552-50CC-446C-C0F4ADB7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97</xdr:row>
      <xdr:rowOff>69850</xdr:rowOff>
    </xdr:from>
    <xdr:to>
      <xdr:col>23</xdr:col>
      <xdr:colOff>203200</xdr:colOff>
      <xdr:row>117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E0184-9E6D-2883-353B-C442D629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1099038</xdr:colOff>
      <xdr:row>1</xdr:row>
      <xdr:rowOff>108439</xdr:rowOff>
    </xdr:from>
    <xdr:to>
      <xdr:col>15</xdr:col>
      <xdr:colOff>405423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926D2-931E-A880-4D29-051BDBE16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1094154</xdr:colOff>
      <xdr:row>16</xdr:row>
      <xdr:rowOff>0</xdr:rowOff>
    </xdr:from>
    <xdr:to>
      <xdr:col>15</xdr:col>
      <xdr:colOff>400539</xdr:colOff>
      <xdr:row>31</xdr:row>
      <xdr:rowOff>116254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8225D-E790-CA14-4B90-FAE88DF05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</xdr:row>
      <xdr:rowOff>82550</xdr:rowOff>
    </xdr:from>
    <xdr:to>
      <xdr:col>15</xdr:col>
      <xdr:colOff>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D77B4-564A-AB54-616F-5E9C7869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uv3trang/Library/Containers/com.microsoft.Excel/Data/Library/Application%20Support/Microsoft/Project%20Financial%20Analysis%202%2018%2024%20(version%201).xlsb" TargetMode="External"/><Relationship Id="rId1" Type="http://schemas.openxmlformats.org/officeDocument/2006/relationships/externalLinkPath" Target="/Users/iluv3trang/Library/Containers/com.microsoft.Excel/Data/Library/Application%20Support/Microsoft/Project%20Financial%20Analysis%202%2018%202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y_Income statement"/>
      <sheetName val="Common size Income Statenment"/>
      <sheetName val="Projected Income Statement"/>
      <sheetName val="Company_Balance sheet"/>
      <sheetName val="Common size Balance sheet"/>
      <sheetName val="CFS"/>
      <sheetName val="Ratio"/>
      <sheetName val="DCF Model "/>
      <sheetName val="JNJ Stock &amp; BETA"/>
      <sheetName val="Financial Business Segments"/>
      <sheetName val="Competitors"/>
      <sheetName val="Sheet2"/>
      <sheetName val="EPS"/>
      <sheetName val="Geographic Analysis"/>
      <sheetName val="Market Value"/>
      <sheetName val="Inflation Rate"/>
    </sheetNames>
    <sheetDataSet>
      <sheetData sheetId="0">
        <row r="14">
          <cell r="B14">
            <v>2013</v>
          </cell>
        </row>
      </sheetData>
      <sheetData sheetId="1"/>
      <sheetData sheetId="2"/>
      <sheetData sheetId="3">
        <row r="17">
          <cell r="B17">
            <v>7878</v>
          </cell>
          <cell r="C17">
            <v>8184</v>
          </cell>
          <cell r="D17">
            <v>8053</v>
          </cell>
          <cell r="E17">
            <v>8144</v>
          </cell>
          <cell r="F17">
            <v>8765</v>
          </cell>
          <cell r="G17">
            <v>8599</v>
          </cell>
          <cell r="H17">
            <v>9020</v>
          </cell>
          <cell r="I17">
            <v>9344</v>
          </cell>
          <cell r="J17">
            <v>10387</v>
          </cell>
          <cell r="K17">
            <v>12483</v>
          </cell>
        </row>
        <row r="24">
          <cell r="B24">
            <v>16710</v>
          </cell>
          <cell r="C24">
            <v>16126</v>
          </cell>
          <cell r="D24">
            <v>15905</v>
          </cell>
          <cell r="E24">
            <v>15912</v>
          </cell>
          <cell r="F24">
            <v>17005</v>
          </cell>
          <cell r="G24">
            <v>17035</v>
          </cell>
          <cell r="H24">
            <v>17658</v>
          </cell>
          <cell r="I24">
            <v>18766</v>
          </cell>
          <cell r="J24">
            <v>18962</v>
          </cell>
          <cell r="K24">
            <v>19803</v>
          </cell>
        </row>
        <row r="28">
          <cell r="B28">
            <v>132683</v>
          </cell>
          <cell r="C28">
            <v>131119</v>
          </cell>
          <cell r="D28">
            <v>133411</v>
          </cell>
          <cell r="E28">
            <v>141208</v>
          </cell>
          <cell r="F28">
            <v>157303</v>
          </cell>
          <cell r="G28">
            <v>152954</v>
          </cell>
          <cell r="H28">
            <v>157728</v>
          </cell>
          <cell r="I28">
            <v>174894</v>
          </cell>
          <cell r="J28">
            <v>182018</v>
          </cell>
          <cell r="K28">
            <v>187378</v>
          </cell>
        </row>
        <row r="47">
          <cell r="B47">
            <v>74053</v>
          </cell>
          <cell r="C47">
            <v>69752</v>
          </cell>
          <cell r="D47">
            <v>71150</v>
          </cell>
          <cell r="E47">
            <v>70418</v>
          </cell>
          <cell r="F47">
            <v>60160</v>
          </cell>
          <cell r="G47">
            <v>59752</v>
          </cell>
          <cell r="H47">
            <v>59471</v>
          </cell>
          <cell r="I47">
            <v>63278</v>
          </cell>
          <cell r="J47">
            <v>74023</v>
          </cell>
          <cell r="K47">
            <v>76804</v>
          </cell>
        </row>
        <row r="73">
          <cell r="B73">
            <v>7878000</v>
          </cell>
          <cell r="C73">
            <v>8184000</v>
          </cell>
          <cell r="D73">
            <v>8053000</v>
          </cell>
          <cell r="E73">
            <v>8144000</v>
          </cell>
          <cell r="F73">
            <v>8765000</v>
          </cell>
          <cell r="G73">
            <v>8599000</v>
          </cell>
          <cell r="H73">
            <v>9020000</v>
          </cell>
          <cell r="I73">
            <v>9344000</v>
          </cell>
          <cell r="J73">
            <v>10387000</v>
          </cell>
          <cell r="K73">
            <v>12483000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7839A-CF6C-B84D-9E46-66FB0573D654}" name="Table1" displayName="Table1" ref="Y4:AI16" totalsRowShown="0" headerRowDxfId="12" dataDxfId="11">
  <autoFilter ref="Y4:AI16" xr:uid="{8687839A-CF6C-B84D-9E46-66FB0573D654}"/>
  <tableColumns count="11">
    <tableColumn id="1" xr3:uid="{F1B473EA-6C1F-5440-98B1-258D02206AE4}" name="Column1" dataDxfId="10">
      <calculatedColumnFormula>A3</calculatedColumnFormula>
    </tableColumn>
    <tableColumn id="2" xr3:uid="{70435E03-C0EA-B54B-901D-628FC50C148C}" name="Column2" dataDxfId="9">
      <calculatedColumnFormula>D3</calculatedColumnFormula>
    </tableColumn>
    <tableColumn id="3" xr3:uid="{CDE60776-C44B-C14B-8E2B-93596C9213DF}" name="Column3" dataDxfId="8"/>
    <tableColumn id="4" xr3:uid="{D1C0FB36-B0D6-FD45-8089-D9ADBE5A5459}" name="Column4" dataDxfId="7"/>
    <tableColumn id="5" xr3:uid="{590650AE-3354-3646-8611-1B9714A395A0}" name="Column5" dataDxfId="6"/>
    <tableColumn id="6" xr3:uid="{BDBD9BD8-6BC5-0242-A5AD-5D5274FCD57B}" name="Column6" dataDxfId="5"/>
    <tableColumn id="7" xr3:uid="{8F4AD4D4-48ED-524D-8F8E-71031C4CC2B1}" name="Column7" dataDxfId="4"/>
    <tableColumn id="8" xr3:uid="{B6B89B4A-0A62-834F-B136-2C9EB9C977E0}" name="Column8" dataDxfId="3"/>
    <tableColumn id="9" xr3:uid="{6B649003-4AB6-B54E-A7AC-A38015038906}" name="Column9" dataDxfId="2"/>
    <tableColumn id="10" xr3:uid="{3002423C-E260-D542-B9B3-B52B5AB79AF6}" name="Column10" dataDxfId="1"/>
    <tableColumn id="11" xr3:uid="{D8313318-3B23-0345-BDB3-6B0433A871F4}" name="Column11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opLeftCell="A16" workbookViewId="0">
      <selection activeCell="M34" sqref="M34"/>
    </sheetView>
  </sheetViews>
  <sheetFormatPr baseColWidth="10" defaultColWidth="8.83203125" defaultRowHeight="13"/>
  <cols>
    <col min="1" max="1" width="50" customWidth="1"/>
    <col min="2" max="11" width="12" customWidth="1"/>
    <col min="12" max="12" width="14.6640625" customWidth="1"/>
    <col min="13" max="200" width="12" customWidth="1"/>
  </cols>
  <sheetData>
    <row r="1" spans="1:21" s="17" customFormat="1"/>
    <row r="2" spans="1:21" s="17" customFormat="1"/>
    <row r="3" spans="1:21" s="17" customFormat="1"/>
    <row r="4" spans="1:21" s="17" customFormat="1">
      <c r="A4" s="18" t="s">
        <v>107</v>
      </c>
    </row>
    <row r="5" spans="1:21" s="17" customFormat="1" ht="20">
      <c r="A5" s="19" t="s">
        <v>108</v>
      </c>
    </row>
    <row r="6" spans="1:21" s="17" customFormat="1"/>
    <row r="7" spans="1:21" s="17" customFormat="1" ht="14">
      <c r="A7" s="20" t="s">
        <v>109</v>
      </c>
    </row>
    <row r="8" spans="1:21">
      <c r="L8" s="8" t="s">
        <v>110</v>
      </c>
    </row>
    <row r="9" spans="1:21">
      <c r="A9" s="8" t="s">
        <v>80</v>
      </c>
      <c r="C9" s="9">
        <f>(C15-B15)/B15</f>
        <v>4.2335090868297058E-2</v>
      </c>
      <c r="D9" s="9">
        <f t="shared" ref="D9:J9" si="0">(D15-C15)/C15</f>
        <v>-5.7270856035839687E-2</v>
      </c>
      <c r="E9" s="9">
        <f t="shared" si="0"/>
        <v>2.5915460798584353E-2</v>
      </c>
      <c r="F9" s="9">
        <f t="shared" si="0"/>
        <v>6.3430240645430513E-2</v>
      </c>
      <c r="G9" s="9">
        <f t="shared" si="0"/>
        <v>6.7115761935905821E-2</v>
      </c>
      <c r="H9" s="9">
        <f t="shared" si="0"/>
        <v>5.8592074134908865E-3</v>
      </c>
      <c r="I9" s="9">
        <f t="shared" si="0"/>
        <v>6.3978357035791317E-3</v>
      </c>
      <c r="J9" s="9">
        <f t="shared" si="0"/>
        <v>0.13551051051051052</v>
      </c>
      <c r="K9" s="9">
        <f>(K15-J15)/J15</f>
        <v>1.2455345241268996E-2</v>
      </c>
      <c r="L9" s="30">
        <f>AVERAGE(C9:K9)</f>
        <v>3.3527621897914174E-2</v>
      </c>
    </row>
    <row r="10" spans="1:21">
      <c r="A10" s="8" t="s">
        <v>79</v>
      </c>
      <c r="B10">
        <v>2013</v>
      </c>
      <c r="C10">
        <v>2014</v>
      </c>
      <c r="D10">
        <f>C10+1</f>
        <v>2015</v>
      </c>
      <c r="E10">
        <f t="shared" ref="E10:K10" si="1">D10+1</f>
        <v>2016</v>
      </c>
      <c r="F10">
        <f t="shared" si="1"/>
        <v>2017</v>
      </c>
      <c r="G10">
        <f t="shared" si="1"/>
        <v>2018</v>
      </c>
      <c r="H10">
        <f t="shared" si="1"/>
        <v>2019</v>
      </c>
      <c r="I10">
        <f t="shared" si="1"/>
        <v>2020</v>
      </c>
      <c r="J10">
        <f t="shared" si="1"/>
        <v>2021</v>
      </c>
      <c r="K10">
        <f t="shared" si="1"/>
        <v>2022</v>
      </c>
    </row>
    <row r="11" spans="1:21" ht="14">
      <c r="A11" s="1" t="s">
        <v>0</v>
      </c>
      <c r="B11" s="2" t="s">
        <v>10</v>
      </c>
      <c r="C11" s="2" t="s">
        <v>9</v>
      </c>
      <c r="D11" s="2" t="s">
        <v>8</v>
      </c>
      <c r="E11" s="2" t="s">
        <v>7</v>
      </c>
      <c r="F11" s="2" t="s">
        <v>6</v>
      </c>
      <c r="G11" s="2" t="s">
        <v>5</v>
      </c>
      <c r="H11" s="2" t="s">
        <v>4</v>
      </c>
      <c r="I11" s="2" t="s">
        <v>3</v>
      </c>
      <c r="J11" s="2" t="s">
        <v>2</v>
      </c>
      <c r="K11" s="2" t="s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">
      <c r="A12" s="1" t="s">
        <v>13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2" t="s">
        <v>15</v>
      </c>
      <c r="B14" s="23">
        <v>71312</v>
      </c>
      <c r="C14" s="23">
        <v>74331</v>
      </c>
      <c r="D14" s="23">
        <v>70074</v>
      </c>
      <c r="E14" s="23">
        <v>71890</v>
      </c>
      <c r="F14" s="23">
        <v>76450</v>
      </c>
      <c r="G14" s="23">
        <v>81581</v>
      </c>
      <c r="H14" s="23">
        <v>82059</v>
      </c>
      <c r="I14" s="23">
        <v>82584</v>
      </c>
      <c r="J14" s="23">
        <v>93775</v>
      </c>
      <c r="K14" s="23">
        <v>94943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s="22" customFormat="1">
      <c r="A15" s="21" t="s">
        <v>16</v>
      </c>
      <c r="B15" s="24">
        <v>71312</v>
      </c>
      <c r="C15" s="24">
        <v>74331</v>
      </c>
      <c r="D15" s="24">
        <v>70074</v>
      </c>
      <c r="E15" s="24">
        <v>71890</v>
      </c>
      <c r="F15" s="24">
        <v>76450</v>
      </c>
      <c r="G15" s="24">
        <v>81581</v>
      </c>
      <c r="H15" s="24">
        <v>82059</v>
      </c>
      <c r="I15" s="24">
        <v>82584</v>
      </c>
      <c r="J15" s="24">
        <v>93775</v>
      </c>
      <c r="K15" s="24">
        <v>94943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>
      <c r="A16" s="12" t="s">
        <v>82</v>
      </c>
      <c r="B16" s="23">
        <v>22342</v>
      </c>
      <c r="C16" s="23">
        <v>22746</v>
      </c>
      <c r="D16" s="23">
        <v>21536</v>
      </c>
      <c r="E16" s="23">
        <v>21685</v>
      </c>
      <c r="F16" s="23">
        <v>25354</v>
      </c>
      <c r="G16" s="23">
        <v>27091</v>
      </c>
      <c r="H16" s="23">
        <v>27556</v>
      </c>
      <c r="I16" s="23">
        <v>28427</v>
      </c>
      <c r="J16" s="23">
        <v>29855</v>
      </c>
      <c r="K16" s="23">
        <v>31089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s="22" customFormat="1">
      <c r="A17" s="21" t="s">
        <v>18</v>
      </c>
      <c r="B17" s="24">
        <v>48970</v>
      </c>
      <c r="C17" s="24">
        <v>51585</v>
      </c>
      <c r="D17" s="24">
        <v>48538</v>
      </c>
      <c r="E17" s="24">
        <v>50205</v>
      </c>
      <c r="F17" s="24">
        <v>51096</v>
      </c>
      <c r="G17" s="24">
        <v>54490</v>
      </c>
      <c r="H17" s="24">
        <v>54503</v>
      </c>
      <c r="I17" s="24">
        <v>54157</v>
      </c>
      <c r="J17" s="24">
        <v>63920</v>
      </c>
      <c r="K17" s="24">
        <v>63854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3" t="s">
        <v>19</v>
      </c>
      <c r="B18" s="23">
        <v>21830</v>
      </c>
      <c r="C18" s="23">
        <v>21954</v>
      </c>
      <c r="D18" s="23">
        <v>21203</v>
      </c>
      <c r="E18" s="23">
        <v>19945</v>
      </c>
      <c r="F18" s="23">
        <v>21420</v>
      </c>
      <c r="G18" s="23">
        <v>22540</v>
      </c>
      <c r="H18" s="23">
        <v>22178</v>
      </c>
      <c r="I18" s="23">
        <v>22084</v>
      </c>
      <c r="J18" s="23">
        <v>24659</v>
      </c>
      <c r="K18" s="23">
        <v>24765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 t="s">
        <v>20</v>
      </c>
      <c r="B19" s="23">
        <v>8763</v>
      </c>
      <c r="C19" s="23">
        <v>8672</v>
      </c>
      <c r="D19" s="23">
        <v>9270</v>
      </c>
      <c r="E19" s="23">
        <v>9124</v>
      </c>
      <c r="F19" s="23">
        <v>10962</v>
      </c>
      <c r="G19" s="23">
        <v>11901</v>
      </c>
      <c r="H19" s="23">
        <v>12245</v>
      </c>
      <c r="I19" s="23">
        <v>12340</v>
      </c>
      <c r="J19" s="23">
        <v>15614</v>
      </c>
      <c r="K19" s="23">
        <v>15386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 t="s">
        <v>21</v>
      </c>
      <c r="B20" s="25" t="s">
        <v>22</v>
      </c>
      <c r="C20" s="25" t="s">
        <v>22</v>
      </c>
      <c r="D20" s="23">
        <v>509</v>
      </c>
      <c r="E20" s="23">
        <v>491</v>
      </c>
      <c r="F20" s="23">
        <v>309</v>
      </c>
      <c r="G20" s="23">
        <v>251</v>
      </c>
      <c r="H20" s="23">
        <v>266</v>
      </c>
      <c r="I20" s="23">
        <v>247</v>
      </c>
      <c r="J20" s="23">
        <v>252</v>
      </c>
      <c r="K20" s="23">
        <v>321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 t="s">
        <v>23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 t="s">
        <v>24</v>
      </c>
      <c r="B22" s="23">
        <v>30593</v>
      </c>
      <c r="C22" s="23">
        <v>30626</v>
      </c>
      <c r="D22" s="23">
        <v>30982</v>
      </c>
      <c r="E22" s="23">
        <v>29560</v>
      </c>
      <c r="F22" s="23">
        <v>32691</v>
      </c>
      <c r="G22" s="23">
        <v>34692</v>
      </c>
      <c r="H22" s="23">
        <v>34689</v>
      </c>
      <c r="I22" s="23">
        <v>34671</v>
      </c>
      <c r="J22" s="23">
        <v>40525</v>
      </c>
      <c r="K22" s="23">
        <v>40472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 t="s">
        <v>25</v>
      </c>
      <c r="B23" s="23">
        <v>18377</v>
      </c>
      <c r="C23" s="23">
        <v>20959</v>
      </c>
      <c r="D23" s="23">
        <v>17556</v>
      </c>
      <c r="E23" s="23">
        <v>20645</v>
      </c>
      <c r="F23" s="23">
        <v>18405</v>
      </c>
      <c r="G23" s="23">
        <v>19798</v>
      </c>
      <c r="H23" s="23">
        <v>19814</v>
      </c>
      <c r="I23" s="23">
        <v>19486</v>
      </c>
      <c r="J23" s="23">
        <v>23395</v>
      </c>
      <c r="K23" s="23">
        <v>23382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16" t="s">
        <v>26</v>
      </c>
      <c r="B24" s="23">
        <v>-408</v>
      </c>
      <c r="C24" s="23">
        <v>-466</v>
      </c>
      <c r="D24" s="23">
        <v>-424</v>
      </c>
      <c r="E24" s="23">
        <v>-358</v>
      </c>
      <c r="F24" s="23">
        <v>-549</v>
      </c>
      <c r="G24" s="23">
        <v>-394</v>
      </c>
      <c r="H24" s="23">
        <v>39</v>
      </c>
      <c r="I24" s="23">
        <v>-90</v>
      </c>
      <c r="J24" s="23">
        <v>-130</v>
      </c>
      <c r="K24" s="23">
        <v>214</v>
      </c>
      <c r="L24" s="57">
        <f>AVERAGE(B24:K24)</f>
        <v>-256.60000000000002</v>
      </c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 t="s">
        <v>27</v>
      </c>
      <c r="B25" s="23">
        <v>-2498</v>
      </c>
      <c r="C25" s="23">
        <v>70</v>
      </c>
      <c r="D25" s="23">
        <v>2064</v>
      </c>
      <c r="E25" s="23">
        <v>-484</v>
      </c>
      <c r="F25" s="23">
        <v>-183</v>
      </c>
      <c r="G25" s="23">
        <v>-1405</v>
      </c>
      <c r="H25" s="23">
        <v>-2525</v>
      </c>
      <c r="I25" s="23">
        <v>-2899</v>
      </c>
      <c r="J25" s="23">
        <v>-489</v>
      </c>
      <c r="K25" s="23">
        <v>-1871</v>
      </c>
      <c r="L25" s="57">
        <f>AVERAGE(B25:K25)</f>
        <v>-1022</v>
      </c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 t="s">
        <v>28</v>
      </c>
      <c r="B26" s="23">
        <v>-2906</v>
      </c>
      <c r="C26" s="23">
        <v>-396</v>
      </c>
      <c r="D26" s="23">
        <v>1640</v>
      </c>
      <c r="E26" s="23">
        <v>-842</v>
      </c>
      <c r="F26" s="23">
        <v>-732</v>
      </c>
      <c r="G26" s="23">
        <v>-1799</v>
      </c>
      <c r="H26" s="23">
        <v>-2486</v>
      </c>
      <c r="I26" s="23">
        <v>-2989</v>
      </c>
      <c r="J26" s="23">
        <v>-619</v>
      </c>
      <c r="K26" s="23">
        <v>-1657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 t="s">
        <v>29</v>
      </c>
      <c r="B27" s="23">
        <v>15471</v>
      </c>
      <c r="C27" s="23">
        <v>20563</v>
      </c>
      <c r="D27" s="23">
        <v>19196</v>
      </c>
      <c r="E27" s="23">
        <v>19803</v>
      </c>
      <c r="F27" s="23">
        <v>17673</v>
      </c>
      <c r="G27" s="23">
        <v>17999</v>
      </c>
      <c r="H27" s="23">
        <v>17328</v>
      </c>
      <c r="I27" s="23">
        <v>16497</v>
      </c>
      <c r="J27" s="23">
        <v>22776</v>
      </c>
      <c r="K27" s="23">
        <v>21725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 t="s">
        <v>30</v>
      </c>
      <c r="B28" s="23">
        <v>1640</v>
      </c>
      <c r="C28" s="23">
        <v>4240</v>
      </c>
      <c r="D28" s="23">
        <v>3787</v>
      </c>
      <c r="E28" s="23">
        <v>3263</v>
      </c>
      <c r="F28" s="23">
        <v>16373</v>
      </c>
      <c r="G28" s="23">
        <v>2702</v>
      </c>
      <c r="H28" s="23">
        <v>2209</v>
      </c>
      <c r="I28" s="23">
        <v>1783</v>
      </c>
      <c r="J28" s="23">
        <v>1898</v>
      </c>
      <c r="K28" s="23">
        <v>3784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 t="s">
        <v>31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 t="s">
        <v>32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s="22" customFormat="1">
      <c r="A31" s="21" t="s">
        <v>33</v>
      </c>
      <c r="B31" s="24">
        <v>13831</v>
      </c>
      <c r="C31" s="24">
        <v>16323</v>
      </c>
      <c r="D31" s="24">
        <v>15409</v>
      </c>
      <c r="E31" s="24">
        <v>16540</v>
      </c>
      <c r="F31" s="24">
        <v>1300</v>
      </c>
      <c r="G31" s="24">
        <v>15297</v>
      </c>
      <c r="H31" s="24">
        <v>15119</v>
      </c>
      <c r="I31" s="24">
        <v>14714</v>
      </c>
      <c r="J31" s="24">
        <v>20878</v>
      </c>
      <c r="K31" s="24">
        <v>17941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s="22" customFormat="1">
      <c r="A32" s="21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s="22" customFormat="1">
      <c r="A33" s="21" t="s">
        <v>213</v>
      </c>
      <c r="B33" s="58">
        <f>B28/B27</f>
        <v>0.10600478314265399</v>
      </c>
      <c r="C33" s="58">
        <f t="shared" ref="C33:K33" si="2">C28/C27</f>
        <v>0.20619559402810875</v>
      </c>
      <c r="D33" s="58">
        <f t="shared" si="2"/>
        <v>0.19728068347572411</v>
      </c>
      <c r="E33" s="58">
        <f t="shared" si="2"/>
        <v>0.16477301418976922</v>
      </c>
      <c r="F33" s="58">
        <f t="shared" si="2"/>
        <v>0.92644146438069375</v>
      </c>
      <c r="G33" s="58">
        <f t="shared" si="2"/>
        <v>0.15011945108061558</v>
      </c>
      <c r="H33" s="58">
        <f t="shared" si="2"/>
        <v>0.1274815327793167</v>
      </c>
      <c r="I33" s="58">
        <f t="shared" si="2"/>
        <v>0.10808025701642723</v>
      </c>
      <c r="J33" s="58">
        <f t="shared" si="2"/>
        <v>8.3333333333333329E-2</v>
      </c>
      <c r="K33" s="58">
        <f t="shared" si="2"/>
        <v>0.17417721518987342</v>
      </c>
      <c r="L33" s="59">
        <v>0.15</v>
      </c>
      <c r="M33" s="21"/>
      <c r="N33" s="21"/>
      <c r="O33" s="21"/>
      <c r="P33" s="21"/>
      <c r="Q33" s="21"/>
      <c r="R33" s="21"/>
      <c r="S33" s="21"/>
      <c r="T33" s="21"/>
      <c r="U33" s="21"/>
    </row>
    <row r="34" spans="1:2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 t="s">
        <v>35</v>
      </c>
      <c r="B36" s="4">
        <v>13831</v>
      </c>
      <c r="C36" s="4">
        <v>16323</v>
      </c>
      <c r="D36" s="4">
        <v>15409</v>
      </c>
      <c r="E36" s="4">
        <v>16540</v>
      </c>
      <c r="F36" s="4">
        <v>1300</v>
      </c>
      <c r="G36" s="4">
        <v>15297</v>
      </c>
      <c r="H36" s="4">
        <v>15119</v>
      </c>
      <c r="I36" s="4">
        <v>14714</v>
      </c>
      <c r="J36" s="4">
        <v>20878</v>
      </c>
      <c r="K36" s="4">
        <v>17941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 t="s">
        <v>36</v>
      </c>
      <c r="B37" s="5">
        <v>2809.2</v>
      </c>
      <c r="C37" s="5">
        <v>2815.2</v>
      </c>
      <c r="D37" s="5">
        <v>2771.8</v>
      </c>
      <c r="E37" s="5">
        <v>2737.3</v>
      </c>
      <c r="F37" s="4">
        <v>2692</v>
      </c>
      <c r="G37" s="5">
        <v>2681.5</v>
      </c>
      <c r="H37" s="5">
        <v>2645.1</v>
      </c>
      <c r="I37" s="5">
        <v>2632.8</v>
      </c>
      <c r="J37" s="5">
        <v>2632.1</v>
      </c>
      <c r="K37" s="5">
        <v>2625.2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 t="s">
        <v>37</v>
      </c>
      <c r="B38" s="6">
        <v>4.92</v>
      </c>
      <c r="C38" s="5">
        <v>5.8</v>
      </c>
      <c r="D38" s="6">
        <v>5.56</v>
      </c>
      <c r="E38" s="6">
        <v>6.04</v>
      </c>
      <c r="F38" s="6">
        <v>0.48</v>
      </c>
      <c r="G38" s="5">
        <v>5.7</v>
      </c>
      <c r="H38" s="6">
        <v>5.72</v>
      </c>
      <c r="I38" s="6">
        <v>5.59</v>
      </c>
      <c r="J38" s="6">
        <v>7.93</v>
      </c>
      <c r="K38" s="6">
        <v>6.83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 t="s">
        <v>38</v>
      </c>
      <c r="B39" s="6">
        <v>4.92</v>
      </c>
      <c r="C39" s="5">
        <v>5.8</v>
      </c>
      <c r="D39" s="6">
        <v>5.56</v>
      </c>
      <c r="E39" s="6">
        <v>6.04</v>
      </c>
      <c r="F39" s="6">
        <v>0.48</v>
      </c>
      <c r="G39" s="5">
        <v>5.7</v>
      </c>
      <c r="H39" s="6">
        <v>5.72</v>
      </c>
      <c r="I39" s="6">
        <v>5.59</v>
      </c>
      <c r="J39" s="6">
        <v>7.93</v>
      </c>
      <c r="K39" s="6">
        <v>6.83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 t="s">
        <v>39</v>
      </c>
      <c r="B40" s="4">
        <v>2877</v>
      </c>
      <c r="C40" s="5">
        <v>2863.9</v>
      </c>
      <c r="D40" s="5">
        <v>2812.9</v>
      </c>
      <c r="E40" s="5">
        <v>2788.9</v>
      </c>
      <c r="F40" s="5">
        <v>2745.3</v>
      </c>
      <c r="G40" s="5">
        <v>2728.7</v>
      </c>
      <c r="H40" s="5">
        <v>2684.3</v>
      </c>
      <c r="I40" s="5">
        <v>2670.7</v>
      </c>
      <c r="J40" s="4">
        <v>2674</v>
      </c>
      <c r="K40" s="5">
        <v>2663.9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 t="s">
        <v>40</v>
      </c>
      <c r="B41" s="6">
        <v>4.8099999999999996</v>
      </c>
      <c r="C41" s="5">
        <v>5.7</v>
      </c>
      <c r="D41" s="6">
        <v>5.48</v>
      </c>
      <c r="E41" s="6">
        <v>5.93</v>
      </c>
      <c r="F41" s="6">
        <v>0.47</v>
      </c>
      <c r="G41" s="6">
        <v>5.61</v>
      </c>
      <c r="H41" s="6">
        <v>5.63</v>
      </c>
      <c r="I41" s="6">
        <v>5.51</v>
      </c>
      <c r="J41" s="6">
        <v>7.81</v>
      </c>
      <c r="K41" s="6">
        <v>6.73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 t="s">
        <v>41</v>
      </c>
      <c r="B42" s="6">
        <v>4.8099999999999996</v>
      </c>
      <c r="C42" s="5">
        <v>5.7</v>
      </c>
      <c r="D42" s="6">
        <v>5.48</v>
      </c>
      <c r="E42" s="6">
        <v>5.93</v>
      </c>
      <c r="F42" s="6">
        <v>0.47</v>
      </c>
      <c r="G42" s="6">
        <v>5.61</v>
      </c>
      <c r="H42" s="6">
        <v>5.63</v>
      </c>
      <c r="I42" s="6">
        <v>5.51</v>
      </c>
      <c r="J42" s="6">
        <v>7.81</v>
      </c>
      <c r="K42" s="6">
        <v>6.73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 t="s">
        <v>42</v>
      </c>
      <c r="B43" s="7">
        <v>2820.6280000000002</v>
      </c>
      <c r="C43" s="7">
        <v>2783.223</v>
      </c>
      <c r="D43" s="7">
        <v>2755.1619999999998</v>
      </c>
      <c r="E43" s="7">
        <v>2706.511</v>
      </c>
      <c r="F43" s="7">
        <v>2682.5250000000001</v>
      </c>
      <c r="G43" s="7">
        <v>2662.3240000000001</v>
      </c>
      <c r="H43" s="7">
        <v>2632.5070000000001</v>
      </c>
      <c r="I43" s="7">
        <v>2632.5120000000002</v>
      </c>
      <c r="J43" s="7">
        <v>2628.9650000000001</v>
      </c>
      <c r="K43" s="7">
        <v>2613.5970000000002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5" spans="1:21">
      <c r="A45" s="1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7" spans="1:21">
      <c r="A47" s="14" t="s">
        <v>103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21">
      <c r="A48" s="14" t="s">
        <v>102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>
      <c r="A49" t="s">
        <v>94</v>
      </c>
      <c r="B49" s="13">
        <f>B16/BS!B18</f>
        <v>2.8359989845138358</v>
      </c>
      <c r="C49" s="13">
        <f>C16/BS!C18</f>
        <v>2.7793255131964809</v>
      </c>
      <c r="D49" s="13">
        <f>D16/BS!D18</f>
        <v>2.6742828759468522</v>
      </c>
      <c r="E49" s="13">
        <f>E16/BS!E18</f>
        <v>2.6626964636542239</v>
      </c>
      <c r="F49" s="13">
        <f>F16/BS!F18</f>
        <v>2.8926411865373645</v>
      </c>
      <c r="G49" s="13">
        <f>G16/BS!G18</f>
        <v>3.1504826142574718</v>
      </c>
      <c r="H49" s="13">
        <f>H16/BS!H18</f>
        <v>3.0549889135254991</v>
      </c>
      <c r="I49" s="13">
        <f>I16/BS!I18</f>
        <v>3.0422731164383561</v>
      </c>
      <c r="J49" s="13">
        <f>J16/BS!J18</f>
        <v>2.874265909309714</v>
      </c>
      <c r="K49" s="13">
        <f>K16/BS!K18</f>
        <v>2.490507089641913</v>
      </c>
    </row>
    <row r="50" spans="1:11">
      <c r="A50" t="s">
        <v>95</v>
      </c>
      <c r="B50" s="13">
        <f>365/B49</f>
        <v>128.70244382776835</v>
      </c>
      <c r="C50" s="13">
        <f t="shared" ref="C50:K50" si="3">365/C49</f>
        <v>131.32682669480349</v>
      </c>
      <c r="D50" s="13">
        <f t="shared" si="3"/>
        <v>136.48518759286776</v>
      </c>
      <c r="E50" s="13">
        <f t="shared" si="3"/>
        <v>137.07908692644685</v>
      </c>
      <c r="F50" s="13">
        <f t="shared" si="3"/>
        <v>126.18225920959217</v>
      </c>
      <c r="G50" s="13">
        <f t="shared" si="3"/>
        <v>115.85526558635709</v>
      </c>
      <c r="H50" s="13">
        <f t="shared" si="3"/>
        <v>119.47670198867759</v>
      </c>
      <c r="I50" s="13">
        <f t="shared" si="3"/>
        <v>119.97607907974813</v>
      </c>
      <c r="J50" s="13">
        <f t="shared" si="3"/>
        <v>126.98894657511305</v>
      </c>
      <c r="K50" s="13">
        <f t="shared" si="3"/>
        <v>146.55649908327703</v>
      </c>
    </row>
    <row r="51" spans="1:11">
      <c r="A51" s="8" t="s">
        <v>106</v>
      </c>
      <c r="B51" s="13" t="e">
        <f t="shared" ref="B51:K51" si="4">B14/B45</f>
        <v>#DIV/0!</v>
      </c>
      <c r="C51" s="13" t="e">
        <f t="shared" si="4"/>
        <v>#DIV/0!</v>
      </c>
      <c r="D51" s="13" t="e">
        <f t="shared" si="4"/>
        <v>#DIV/0!</v>
      </c>
      <c r="E51" s="13" t="e">
        <f t="shared" si="4"/>
        <v>#DIV/0!</v>
      </c>
      <c r="F51" s="13" t="e">
        <f t="shared" si="4"/>
        <v>#DIV/0!</v>
      </c>
      <c r="G51" s="13" t="e">
        <f t="shared" si="4"/>
        <v>#DIV/0!</v>
      </c>
      <c r="H51" s="13" t="e">
        <f t="shared" si="4"/>
        <v>#DIV/0!</v>
      </c>
      <c r="I51" s="13" t="e">
        <f t="shared" si="4"/>
        <v>#DIV/0!</v>
      </c>
      <c r="J51" s="13" t="e">
        <f t="shared" si="4"/>
        <v>#DIV/0!</v>
      </c>
      <c r="K51" s="13" t="e">
        <f t="shared" si="4"/>
        <v>#DIV/0!</v>
      </c>
    </row>
    <row r="52" spans="1:11">
      <c r="A52" t="s">
        <v>97</v>
      </c>
      <c r="B52" s="13" t="e">
        <f>365/B51</f>
        <v>#DIV/0!</v>
      </c>
      <c r="C52" s="13" t="e">
        <f t="shared" ref="C52:K52" si="5">365/C51</f>
        <v>#DIV/0!</v>
      </c>
      <c r="D52" s="13" t="e">
        <f t="shared" si="5"/>
        <v>#DIV/0!</v>
      </c>
      <c r="E52" s="13" t="e">
        <f t="shared" si="5"/>
        <v>#DIV/0!</v>
      </c>
      <c r="F52" s="13" t="e">
        <f t="shared" si="5"/>
        <v>#DIV/0!</v>
      </c>
      <c r="G52" s="13" t="e">
        <f t="shared" si="5"/>
        <v>#DIV/0!</v>
      </c>
      <c r="H52" s="13" t="e">
        <f t="shared" si="5"/>
        <v>#DIV/0!</v>
      </c>
      <c r="I52" s="13" t="e">
        <f t="shared" si="5"/>
        <v>#DIV/0!</v>
      </c>
      <c r="J52" s="13" t="e">
        <f t="shared" si="5"/>
        <v>#DIV/0!</v>
      </c>
      <c r="K52" s="13" t="e">
        <f t="shared" si="5"/>
        <v>#DIV/0!</v>
      </c>
    </row>
    <row r="53" spans="1:11">
      <c r="A53" t="s">
        <v>101</v>
      </c>
      <c r="B53" s="13">
        <f>B14/BS!B25</f>
        <v>4.2676241771394379</v>
      </c>
      <c r="C53" s="13">
        <f>C14/BS!C25</f>
        <v>4.6093885650502298</v>
      </c>
      <c r="D53" s="13">
        <f>D14/BS!D25</f>
        <v>4.4057843445457401</v>
      </c>
      <c r="E53" s="13">
        <f>E14/BS!E25</f>
        <v>4.5179738562091503</v>
      </c>
      <c r="F53" s="13">
        <f>F14/BS!F25</f>
        <v>4.4957365480740963</v>
      </c>
      <c r="G53" s="13">
        <f>G14/BS!G25</f>
        <v>4.7890226005283241</v>
      </c>
      <c r="H53" s="13">
        <f>H14/BS!H25</f>
        <v>4.6471287801563035</v>
      </c>
      <c r="I53" s="13">
        <f>I14/BS!I25</f>
        <v>4.4007247149099431</v>
      </c>
      <c r="J53" s="13">
        <f>J14/BS!J25</f>
        <v>4.9454171500896527</v>
      </c>
      <c r="K53" s="13">
        <f>K14/BS!K25</f>
        <v>4.7943745897086298</v>
      </c>
    </row>
    <row r="55" spans="1:11">
      <c r="A55" s="14" t="s">
        <v>105</v>
      </c>
    </row>
    <row r="56" spans="1:11">
      <c r="A56" t="s">
        <v>98</v>
      </c>
      <c r="B56" s="9">
        <f t="shared" ref="B56:K56" si="6">B31/B15</f>
        <v>0.19395052726048911</v>
      </c>
      <c r="C56" s="9">
        <f t="shared" si="6"/>
        <v>0.21959882148767002</v>
      </c>
      <c r="D56" s="9">
        <f t="shared" si="6"/>
        <v>0.21989610982675456</v>
      </c>
      <c r="E56" s="9">
        <f t="shared" si="6"/>
        <v>0.23007372374460983</v>
      </c>
      <c r="F56" s="9">
        <f t="shared" si="6"/>
        <v>1.7004578155657292E-2</v>
      </c>
      <c r="G56" s="9">
        <f t="shared" si="6"/>
        <v>0.18750689498780354</v>
      </c>
      <c r="H56" s="9">
        <f t="shared" si="6"/>
        <v>0.18424548190935791</v>
      </c>
      <c r="I56" s="9">
        <f t="shared" si="6"/>
        <v>0.17817010558946042</v>
      </c>
      <c r="J56" s="9">
        <f t="shared" si="6"/>
        <v>0.22263929618768327</v>
      </c>
      <c r="K56" s="9">
        <f t="shared" si="6"/>
        <v>0.18896601118565876</v>
      </c>
    </row>
    <row r="57" spans="1:11">
      <c r="A57" t="s">
        <v>99</v>
      </c>
      <c r="B57" s="9">
        <f>B31/BS!B29</f>
        <v>0.10424093516124899</v>
      </c>
      <c r="C57" s="9">
        <f>C31/BS!C29</f>
        <v>0.12448996712909648</v>
      </c>
      <c r="D57" s="9">
        <f>D31/BS!D29</f>
        <v>0.1155002211211969</v>
      </c>
      <c r="E57" s="9">
        <f>E31/BS!E29</f>
        <v>0.11713217381451475</v>
      </c>
      <c r="F57" s="9">
        <f>F31/BS!F29</f>
        <v>8.2643051944336719E-3</v>
      </c>
      <c r="G57" s="9">
        <f>G31/BS!G29</f>
        <v>0.10001046066137531</v>
      </c>
      <c r="H57" s="9">
        <f>H31/BS!H29</f>
        <v>9.5854889429904652E-2</v>
      </c>
      <c r="I57" s="9">
        <f>I31/BS!I29</f>
        <v>8.4130959323933358E-2</v>
      </c>
      <c r="J57" s="9">
        <f>J31/BS!J29</f>
        <v>0.1147029414673274</v>
      </c>
      <c r="K57" s="9">
        <f>K31/BS!K29</f>
        <v>9.574763312662106E-2</v>
      </c>
    </row>
    <row r="58" spans="1:11">
      <c r="A58" t="s">
        <v>100</v>
      </c>
      <c r="B58" s="9">
        <f>B31/BS!B48</f>
        <v>0.18677163653059295</v>
      </c>
      <c r="C58" s="9">
        <f>C31/BS!C48</f>
        <v>0.23401479527468746</v>
      </c>
      <c r="D58" s="9">
        <f>D31/BS!D48</f>
        <v>0.21657062543921293</v>
      </c>
      <c r="E58" s="9">
        <f>E31/BS!E48</f>
        <v>0.23488312647334489</v>
      </c>
      <c r="F58" s="9">
        <f>F31/BS!F48</f>
        <v>2.1609042553191491E-2</v>
      </c>
      <c r="G58" s="9">
        <f>G31/BS!G48</f>
        <v>0.25600816709064134</v>
      </c>
      <c r="H58" s="9">
        <f>H31/BS!H48</f>
        <v>0.25422474819660001</v>
      </c>
      <c r="I58" s="9">
        <f>I31/BS!I48</f>
        <v>0.23252947311861943</v>
      </c>
      <c r="J58" s="9">
        <f>J31/BS!J48</f>
        <v>0.28204747173175904</v>
      </c>
      <c r="K58" s="9">
        <f>K31/BS!K48</f>
        <v>0.23359460444768501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F11:K47">
    <sortCondition descending="1" ref="F11:K11"/>
  </sortState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0654-0ECC-44C8-A068-34413A7D859D}">
  <dimension ref="A2:AO143"/>
  <sheetViews>
    <sheetView tabSelected="1" topLeftCell="A127" zoomScale="110" zoomScaleNormal="110" workbookViewId="0">
      <selection activeCell="AM1" sqref="AM1:AT1048576"/>
    </sheetView>
  </sheetViews>
  <sheetFormatPr baseColWidth="10" defaultColWidth="8.83203125" defaultRowHeight="13"/>
  <cols>
    <col min="1" max="1" width="31.1640625" customWidth="1"/>
    <col min="2" max="2" width="14.5" bestFit="1" customWidth="1"/>
    <col min="3" max="3" width="14" bestFit="1" customWidth="1"/>
    <col min="4" max="11" width="13.1640625" bestFit="1" customWidth="1"/>
    <col min="12" max="12" width="15.6640625" customWidth="1"/>
    <col min="13" max="13" width="16.6640625" bestFit="1" customWidth="1"/>
    <col min="14" max="14" width="12.6640625" bestFit="1" customWidth="1"/>
    <col min="15" max="15" width="9.1640625" bestFit="1" customWidth="1"/>
    <col min="25" max="25" width="31.33203125" customWidth="1"/>
    <col min="26" max="33" width="10.33203125" customWidth="1"/>
    <col min="34" max="35" width="11.33203125" customWidth="1"/>
  </cols>
  <sheetData>
    <row r="2" spans="1:41">
      <c r="B2" s="22">
        <v>2021</v>
      </c>
      <c r="C2" s="22">
        <v>2022</v>
      </c>
      <c r="D2" s="22">
        <f>C2+1</f>
        <v>2023</v>
      </c>
      <c r="E2" s="22">
        <f t="shared" ref="E2:L2" si="0">D2+1</f>
        <v>2024</v>
      </c>
      <c r="F2" s="22">
        <f t="shared" si="0"/>
        <v>2025</v>
      </c>
      <c r="G2" s="22">
        <f t="shared" si="0"/>
        <v>2026</v>
      </c>
      <c r="H2" s="22">
        <f t="shared" si="0"/>
        <v>2027</v>
      </c>
      <c r="I2" s="22">
        <f t="shared" si="0"/>
        <v>2028</v>
      </c>
      <c r="J2" s="22">
        <f t="shared" si="0"/>
        <v>2029</v>
      </c>
      <c r="K2" s="22">
        <f t="shared" si="0"/>
        <v>2030</v>
      </c>
      <c r="L2" s="22">
        <f t="shared" si="0"/>
        <v>2031</v>
      </c>
      <c r="M2" s="22">
        <f>L2+1</f>
        <v>2032</v>
      </c>
    </row>
    <row r="3" spans="1:41">
      <c r="A3" s="49" t="s">
        <v>146</v>
      </c>
    </row>
    <row r="4" spans="1:41">
      <c r="A4" s="50" t="s">
        <v>147</v>
      </c>
      <c r="D4" s="65">
        <v>4.3310000000000001E-2</v>
      </c>
      <c r="E4" s="65">
        <v>4.3299999999999998E-2</v>
      </c>
      <c r="F4" s="65">
        <v>4.3299999999999998E-2</v>
      </c>
      <c r="G4" s="65">
        <v>4.3299999999999998E-2</v>
      </c>
      <c r="H4" s="65">
        <v>4.3299999999999998E-2</v>
      </c>
      <c r="I4" s="65">
        <v>4.3299999999999998E-2</v>
      </c>
      <c r="J4" s="65">
        <v>4.3299999999999998E-2</v>
      </c>
      <c r="K4" s="65">
        <v>4.3299999999999998E-2</v>
      </c>
      <c r="L4" s="65">
        <v>4.3299999999999998E-2</v>
      </c>
      <c r="M4" s="65">
        <v>4.3299999999999998E-2</v>
      </c>
      <c r="Y4" t="s">
        <v>261</v>
      </c>
      <c r="Z4" t="s">
        <v>262</v>
      </c>
      <c r="AA4" t="s">
        <v>263</v>
      </c>
      <c r="AB4" t="s">
        <v>264</v>
      </c>
      <c r="AC4" t="s">
        <v>265</v>
      </c>
      <c r="AD4" t="s">
        <v>266</v>
      </c>
      <c r="AE4" t="s">
        <v>267</v>
      </c>
      <c r="AF4" t="s">
        <v>268</v>
      </c>
      <c r="AG4" t="s">
        <v>269</v>
      </c>
      <c r="AH4" t="s">
        <v>270</v>
      </c>
      <c r="AI4" t="s">
        <v>271</v>
      </c>
    </row>
    <row r="5" spans="1:41" ht="16">
      <c r="A5" s="50" t="s">
        <v>148</v>
      </c>
      <c r="D5" s="67">
        <v>5.6000000000000001E-2</v>
      </c>
      <c r="E5" s="67">
        <v>5.6000000000000001E-2</v>
      </c>
      <c r="F5" s="67">
        <v>5.6000000000000001E-2</v>
      </c>
      <c r="G5" s="67">
        <v>5.6000000000000001E-2</v>
      </c>
      <c r="H5" s="67">
        <v>5.6000000000000001E-2</v>
      </c>
      <c r="I5" s="67">
        <v>5.6000000000000001E-2</v>
      </c>
      <c r="J5" s="67">
        <v>5.6000000000000001E-2</v>
      </c>
      <c r="K5" s="67">
        <v>5.6000000000000001E-2</v>
      </c>
      <c r="L5" s="67">
        <v>5.6000000000000001E-2</v>
      </c>
      <c r="M5" s="67">
        <v>5.6000000000000001E-2</v>
      </c>
      <c r="Y5" s="99" t="str">
        <f t="shared" ref="Y5:Y12" si="1">A3</f>
        <v>External Factors</v>
      </c>
      <c r="Z5" s="100">
        <v>2023</v>
      </c>
      <c r="AA5" s="100">
        <f>1+Z5</f>
        <v>2024</v>
      </c>
      <c r="AB5" s="100">
        <f t="shared" ref="AB5:AI5" si="2">1+AA5</f>
        <v>2025</v>
      </c>
      <c r="AC5" s="100">
        <f t="shared" si="2"/>
        <v>2026</v>
      </c>
      <c r="AD5" s="100">
        <f t="shared" si="2"/>
        <v>2027</v>
      </c>
      <c r="AE5" s="100">
        <f t="shared" si="2"/>
        <v>2028</v>
      </c>
      <c r="AF5" s="100">
        <f t="shared" si="2"/>
        <v>2029</v>
      </c>
      <c r="AG5" s="100">
        <f t="shared" si="2"/>
        <v>2030</v>
      </c>
      <c r="AH5" s="100">
        <f t="shared" si="2"/>
        <v>2031</v>
      </c>
      <c r="AI5" s="100">
        <f t="shared" si="2"/>
        <v>2032</v>
      </c>
    </row>
    <row r="6" spans="1:41" ht="16">
      <c r="A6" s="50" t="s">
        <v>149</v>
      </c>
      <c r="D6" s="66">
        <v>4.9000000000000002E-2</v>
      </c>
      <c r="E6" s="66">
        <v>4.9000000000000002E-2</v>
      </c>
      <c r="F6" s="66">
        <v>4.9000000000000002E-2</v>
      </c>
      <c r="G6" s="66">
        <v>4.9000000000000002E-2</v>
      </c>
      <c r="H6" s="66">
        <v>4.9000000000000002E-2</v>
      </c>
      <c r="I6" s="66">
        <v>4.9000000000000002E-2</v>
      </c>
      <c r="J6" s="66">
        <v>4.9000000000000002E-2</v>
      </c>
      <c r="K6" s="66">
        <v>4.9000000000000002E-2</v>
      </c>
      <c r="L6" s="66">
        <v>4.9000000000000002E-2</v>
      </c>
      <c r="M6" s="66">
        <v>4.9000000000000002E-2</v>
      </c>
      <c r="Y6" s="96" t="str">
        <f t="shared" si="1"/>
        <v>Risk Free Rate</v>
      </c>
      <c r="Z6" s="98">
        <f t="shared" ref="Z6:AI12" si="3">D4</f>
        <v>4.3310000000000001E-2</v>
      </c>
      <c r="AA6" s="98">
        <f t="shared" si="3"/>
        <v>4.3299999999999998E-2</v>
      </c>
      <c r="AB6" s="98">
        <f t="shared" si="3"/>
        <v>4.3299999999999998E-2</v>
      </c>
      <c r="AC6" s="98">
        <f t="shared" si="3"/>
        <v>4.3299999999999998E-2</v>
      </c>
      <c r="AD6" s="98">
        <f t="shared" si="3"/>
        <v>4.3299999999999998E-2</v>
      </c>
      <c r="AE6" s="98">
        <f t="shared" si="3"/>
        <v>4.3299999999999998E-2</v>
      </c>
      <c r="AF6" s="98">
        <f t="shared" si="3"/>
        <v>4.3299999999999998E-2</v>
      </c>
      <c r="AG6" s="98">
        <f t="shared" si="3"/>
        <v>4.3299999999999998E-2</v>
      </c>
      <c r="AH6" s="98">
        <f t="shared" si="3"/>
        <v>4.3299999999999998E-2</v>
      </c>
      <c r="AI6" s="98">
        <f t="shared" si="3"/>
        <v>4.3299999999999998E-2</v>
      </c>
    </row>
    <row r="7" spans="1:41" ht="16">
      <c r="A7" s="51" t="s">
        <v>150</v>
      </c>
      <c r="B7" s="9">
        <v>0.13551051051051052</v>
      </c>
      <c r="C7" s="9">
        <v>1.2455345241268996E-2</v>
      </c>
      <c r="D7" s="48">
        <v>6.5000000000000002E-2</v>
      </c>
      <c r="E7" s="48">
        <v>6.5000000000000002E-2</v>
      </c>
      <c r="F7" s="9">
        <v>0.05</v>
      </c>
      <c r="G7" s="9">
        <v>0.05</v>
      </c>
      <c r="H7" s="9">
        <v>0.05</v>
      </c>
      <c r="I7" s="9">
        <v>0.05</v>
      </c>
      <c r="J7" s="9">
        <v>0.05</v>
      </c>
      <c r="K7" s="9">
        <v>0.05</v>
      </c>
      <c r="L7" s="9">
        <v>0.05</v>
      </c>
      <c r="M7" s="9">
        <v>0.05</v>
      </c>
      <c r="Y7" s="96" t="str">
        <f t="shared" si="1"/>
        <v>Market risk premium</v>
      </c>
      <c r="Z7" s="98">
        <f t="shared" si="3"/>
        <v>5.6000000000000001E-2</v>
      </c>
      <c r="AA7" s="98">
        <f t="shared" si="3"/>
        <v>5.6000000000000001E-2</v>
      </c>
      <c r="AB7" s="98">
        <f t="shared" si="3"/>
        <v>5.6000000000000001E-2</v>
      </c>
      <c r="AC7" s="98">
        <f t="shared" si="3"/>
        <v>5.6000000000000001E-2</v>
      </c>
      <c r="AD7" s="98">
        <f t="shared" si="3"/>
        <v>5.6000000000000001E-2</v>
      </c>
      <c r="AE7" s="98">
        <f t="shared" si="3"/>
        <v>5.6000000000000001E-2</v>
      </c>
      <c r="AF7" s="98">
        <f t="shared" si="3"/>
        <v>5.6000000000000001E-2</v>
      </c>
      <c r="AG7" s="98">
        <f t="shared" si="3"/>
        <v>5.6000000000000001E-2</v>
      </c>
      <c r="AH7" s="98">
        <f t="shared" si="3"/>
        <v>5.6000000000000001E-2</v>
      </c>
      <c r="AI7" s="98">
        <f t="shared" si="3"/>
        <v>5.6000000000000001E-2</v>
      </c>
    </row>
    <row r="8" spans="1:41" ht="16">
      <c r="A8" s="52" t="s">
        <v>151</v>
      </c>
      <c r="D8" s="67">
        <f>(D5*D31)+D4</f>
        <v>7.5789999999999996E-2</v>
      </c>
      <c r="E8" s="67">
        <f t="shared" ref="E8:M8" si="4">(E5*E31)+E4</f>
        <v>7.6899999999999996E-2</v>
      </c>
      <c r="F8" s="67">
        <f t="shared" si="4"/>
        <v>7.5219999999999995E-2</v>
      </c>
      <c r="G8" s="67">
        <f t="shared" si="4"/>
        <v>7.5779999999999986E-2</v>
      </c>
      <c r="H8" s="67">
        <f t="shared" si="4"/>
        <v>7.5219999999999995E-2</v>
      </c>
      <c r="I8" s="67">
        <f t="shared" si="4"/>
        <v>7.4660000000000004E-2</v>
      </c>
      <c r="J8" s="67">
        <f t="shared" si="4"/>
        <v>7.4099999999999999E-2</v>
      </c>
      <c r="K8" s="67">
        <f t="shared" si="4"/>
        <v>7.4660000000000004E-2</v>
      </c>
      <c r="L8" s="67">
        <f t="shared" si="4"/>
        <v>7.4099999999999999E-2</v>
      </c>
      <c r="M8" s="67">
        <f t="shared" si="4"/>
        <v>7.4099999999999999E-2</v>
      </c>
      <c r="Y8" s="96" t="str">
        <f t="shared" si="1"/>
        <v>Interest rate on debt (cost of debt)</v>
      </c>
      <c r="Z8" s="98">
        <f t="shared" si="3"/>
        <v>4.9000000000000002E-2</v>
      </c>
      <c r="AA8" s="98">
        <f t="shared" si="3"/>
        <v>4.9000000000000002E-2</v>
      </c>
      <c r="AB8" s="98">
        <f t="shared" si="3"/>
        <v>4.9000000000000002E-2</v>
      </c>
      <c r="AC8" s="98">
        <f t="shared" si="3"/>
        <v>4.9000000000000002E-2</v>
      </c>
      <c r="AD8" s="98">
        <f t="shared" si="3"/>
        <v>4.9000000000000002E-2</v>
      </c>
      <c r="AE8" s="98">
        <f t="shared" si="3"/>
        <v>4.9000000000000002E-2</v>
      </c>
      <c r="AF8" s="98">
        <f t="shared" si="3"/>
        <v>4.9000000000000002E-2</v>
      </c>
      <c r="AG8" s="98">
        <f t="shared" si="3"/>
        <v>4.9000000000000002E-2</v>
      </c>
      <c r="AH8" s="98">
        <f t="shared" si="3"/>
        <v>4.9000000000000002E-2</v>
      </c>
      <c r="AI8" s="98">
        <f t="shared" si="3"/>
        <v>4.9000000000000002E-2</v>
      </c>
    </row>
    <row r="9" spans="1:41" ht="16">
      <c r="A9" s="53" t="s">
        <v>152</v>
      </c>
      <c r="D9" s="9">
        <f>D79/(D79+$D$34*1000)</f>
        <v>0.12793848338752475</v>
      </c>
      <c r="E9" s="9">
        <f t="shared" ref="E9:M9" si="5">E79/(E79+$D$34*1000)</f>
        <v>0.12793848338752475</v>
      </c>
      <c r="F9" s="9">
        <f t="shared" si="5"/>
        <v>0.12793848338752475</v>
      </c>
      <c r="G9" s="9">
        <f t="shared" si="5"/>
        <v>0.12793848338752475</v>
      </c>
      <c r="H9" s="9">
        <f t="shared" si="5"/>
        <v>0.12793848338752475</v>
      </c>
      <c r="I9" s="9">
        <f t="shared" si="5"/>
        <v>0.12793848338752475</v>
      </c>
      <c r="J9" s="9">
        <f t="shared" si="5"/>
        <v>0.12793848338752475</v>
      </c>
      <c r="K9" s="9">
        <f t="shared" si="5"/>
        <v>0.12793848338752475</v>
      </c>
      <c r="L9" s="9">
        <f t="shared" si="5"/>
        <v>0.12793848338752475</v>
      </c>
      <c r="M9" s="9">
        <f t="shared" si="5"/>
        <v>0.12793848338752475</v>
      </c>
      <c r="Y9" s="96" t="str">
        <f t="shared" si="1"/>
        <v>Annual sales growth</v>
      </c>
      <c r="Z9" s="98">
        <f t="shared" si="3"/>
        <v>6.5000000000000002E-2</v>
      </c>
      <c r="AA9" s="98">
        <f t="shared" si="3"/>
        <v>6.5000000000000002E-2</v>
      </c>
      <c r="AB9" s="98">
        <f t="shared" si="3"/>
        <v>0.05</v>
      </c>
      <c r="AC9" s="98">
        <f t="shared" si="3"/>
        <v>0.05</v>
      </c>
      <c r="AD9" s="98">
        <f t="shared" si="3"/>
        <v>0.05</v>
      </c>
      <c r="AE9" s="98">
        <f t="shared" si="3"/>
        <v>0.05</v>
      </c>
      <c r="AF9" s="98">
        <f t="shared" si="3"/>
        <v>0.05</v>
      </c>
      <c r="AG9" s="98">
        <f t="shared" si="3"/>
        <v>0.05</v>
      </c>
      <c r="AH9" s="98">
        <f t="shared" si="3"/>
        <v>0.05</v>
      </c>
      <c r="AI9" s="98">
        <f t="shared" si="3"/>
        <v>0.05</v>
      </c>
    </row>
    <row r="10" spans="1:41" s="83" customFormat="1" ht="16">
      <c r="A10" s="85" t="s">
        <v>153</v>
      </c>
      <c r="D10" s="86">
        <f>(1-D9)*D8+D9*D6*(1-D25)</f>
        <v>7.1535021919497704E-2</v>
      </c>
      <c r="E10" s="86">
        <f t="shared" ref="E10:M10" si="6">(1-E9)*E8+E9*E6*(1-E25)</f>
        <v>7.2503010202937535E-2</v>
      </c>
      <c r="F10" s="86">
        <f t="shared" si="6"/>
        <v>7.1037946855028594E-2</v>
      </c>
      <c r="G10" s="86">
        <f t="shared" si="6"/>
        <v>7.1526301304331574E-2</v>
      </c>
      <c r="H10" s="86">
        <f t="shared" si="6"/>
        <v>7.1037946855028594E-2</v>
      </c>
      <c r="I10" s="86">
        <f t="shared" si="6"/>
        <v>7.0549592405725614E-2</v>
      </c>
      <c r="J10" s="86">
        <f t="shared" si="6"/>
        <v>7.0061237956422606E-2</v>
      </c>
      <c r="K10" s="86">
        <f t="shared" si="6"/>
        <v>7.0549592405725614E-2</v>
      </c>
      <c r="L10" s="86">
        <f t="shared" si="6"/>
        <v>7.0061237956422606E-2</v>
      </c>
      <c r="M10" s="86">
        <f t="shared" si="6"/>
        <v>7.0061237956422606E-2</v>
      </c>
      <c r="N10" s="86">
        <f>AVERAGE(D10:M10)</f>
        <v>7.0892312581754297E-2</v>
      </c>
      <c r="X10"/>
      <c r="Y10" s="96" t="str">
        <f t="shared" si="1"/>
        <v>Cost of equity</v>
      </c>
      <c r="Z10" s="98">
        <f t="shared" si="3"/>
        <v>7.5789999999999996E-2</v>
      </c>
      <c r="AA10" s="98">
        <f t="shared" si="3"/>
        <v>7.6899999999999996E-2</v>
      </c>
      <c r="AB10" s="98">
        <f t="shared" si="3"/>
        <v>7.5219999999999995E-2</v>
      </c>
      <c r="AC10" s="98">
        <f t="shared" si="3"/>
        <v>7.5779999999999986E-2</v>
      </c>
      <c r="AD10" s="98">
        <f t="shared" si="3"/>
        <v>7.5219999999999995E-2</v>
      </c>
      <c r="AE10" s="98">
        <f t="shared" si="3"/>
        <v>7.4660000000000004E-2</v>
      </c>
      <c r="AF10" s="98">
        <f t="shared" si="3"/>
        <v>7.4099999999999999E-2</v>
      </c>
      <c r="AG10" s="98">
        <f t="shared" si="3"/>
        <v>7.4660000000000004E-2</v>
      </c>
      <c r="AH10" s="98">
        <f t="shared" si="3"/>
        <v>7.4099999999999999E-2</v>
      </c>
      <c r="AI10" s="98">
        <f t="shared" si="3"/>
        <v>7.4099999999999999E-2</v>
      </c>
      <c r="AJ10"/>
      <c r="AL10"/>
      <c r="AM10"/>
      <c r="AN10"/>
      <c r="AO10"/>
    </row>
    <row r="11" spans="1:41" ht="16">
      <c r="A11" s="50" t="s">
        <v>154</v>
      </c>
      <c r="D11" s="66">
        <v>3.9E-2</v>
      </c>
      <c r="Y11" s="96" t="str">
        <f t="shared" si="1"/>
        <v>Capital Structure (% debt)</v>
      </c>
      <c r="Z11" s="98">
        <f t="shared" si="3"/>
        <v>0.12793848338752475</v>
      </c>
      <c r="AA11" s="98">
        <f t="shared" si="3"/>
        <v>0.12793848338752475</v>
      </c>
      <c r="AB11" s="98">
        <f t="shared" si="3"/>
        <v>0.12793848338752475</v>
      </c>
      <c r="AC11" s="98">
        <f t="shared" si="3"/>
        <v>0.12793848338752475</v>
      </c>
      <c r="AD11" s="98">
        <f t="shared" si="3"/>
        <v>0.12793848338752475</v>
      </c>
      <c r="AE11" s="98">
        <f t="shared" si="3"/>
        <v>0.12793848338752475</v>
      </c>
      <c r="AF11" s="98">
        <f t="shared" si="3"/>
        <v>0.12793848338752475</v>
      </c>
      <c r="AG11" s="98">
        <f t="shared" si="3"/>
        <v>0.12793848338752475</v>
      </c>
      <c r="AH11" s="98">
        <f t="shared" si="3"/>
        <v>0.12793848338752475</v>
      </c>
      <c r="AI11" s="98">
        <f t="shared" si="3"/>
        <v>0.12793848338752475</v>
      </c>
    </row>
    <row r="12" spans="1:41" ht="16">
      <c r="A12" s="54" t="s">
        <v>155</v>
      </c>
      <c r="D12" s="66">
        <f>M10</f>
        <v>7.0061237956422606E-2</v>
      </c>
      <c r="Y12" s="96" t="str">
        <f t="shared" si="1"/>
        <v>WACC (discount rate)</v>
      </c>
      <c r="Z12" s="98">
        <f t="shared" si="3"/>
        <v>7.1535021919497704E-2</v>
      </c>
      <c r="AA12" s="98">
        <f t="shared" si="3"/>
        <v>7.2503010202937535E-2</v>
      </c>
      <c r="AB12" s="98">
        <f t="shared" si="3"/>
        <v>7.1037946855028594E-2</v>
      </c>
      <c r="AC12" s="98">
        <f t="shared" si="3"/>
        <v>7.1526301304331574E-2</v>
      </c>
      <c r="AD12" s="98">
        <f t="shared" si="3"/>
        <v>7.1037946855028594E-2</v>
      </c>
      <c r="AE12" s="98">
        <f t="shared" si="3"/>
        <v>7.0549592405725614E-2</v>
      </c>
      <c r="AF12" s="98">
        <f t="shared" si="3"/>
        <v>7.0061237956422606E-2</v>
      </c>
      <c r="AG12" s="98">
        <f t="shared" si="3"/>
        <v>7.0549592405725614E-2</v>
      </c>
      <c r="AH12" s="98">
        <f t="shared" si="3"/>
        <v>7.0061237956422606E-2</v>
      </c>
      <c r="AI12" s="98">
        <f t="shared" si="3"/>
        <v>7.0061237956422606E-2</v>
      </c>
    </row>
    <row r="13" spans="1:41" ht="16">
      <c r="A13" s="50"/>
      <c r="D13" s="66"/>
      <c r="Y13" s="96" t="str">
        <f t="shared" ref="Y13:Y14" si="7">A11</f>
        <v>Perpetual CF growth</v>
      </c>
      <c r="Z13" s="98">
        <f t="shared" ref="Z13:Z14" si="8">D11</f>
        <v>3.9E-2</v>
      </c>
      <c r="AA13" s="98"/>
      <c r="AB13" s="98"/>
      <c r="AC13" s="98"/>
      <c r="AD13" s="98"/>
      <c r="AE13" s="98"/>
      <c r="AF13" s="98"/>
      <c r="AG13" s="98"/>
      <c r="AH13" s="98"/>
      <c r="AI13" s="98"/>
    </row>
    <row r="14" spans="1:41" s="83" customFormat="1" ht="16">
      <c r="A14" s="79" t="s">
        <v>272</v>
      </c>
      <c r="D14" s="84">
        <f t="shared" ref="D14:M14" si="9">(D50*(1-D25))/(D131+D82)</f>
        <v>0.14518203244333919</v>
      </c>
      <c r="E14" s="84">
        <f t="shared" si="9"/>
        <v>0.14128055156389627</v>
      </c>
      <c r="F14" s="84">
        <f t="shared" si="9"/>
        <v>0.14434057356642399</v>
      </c>
      <c r="G14" s="84">
        <f t="shared" si="9"/>
        <v>0.14547947203649256</v>
      </c>
      <c r="H14" s="84">
        <f t="shared" si="9"/>
        <v>0.1445579075367078</v>
      </c>
      <c r="I14" s="84">
        <f t="shared" si="9"/>
        <v>0.14273400731682531</v>
      </c>
      <c r="J14" s="84">
        <f t="shared" si="9"/>
        <v>0.14970586039034545</v>
      </c>
      <c r="K14" s="84">
        <f t="shared" si="9"/>
        <v>0.14879811141952054</v>
      </c>
      <c r="L14" s="84">
        <f t="shared" si="9"/>
        <v>0.14794376435911832</v>
      </c>
      <c r="M14" s="84">
        <f t="shared" si="9"/>
        <v>0.14915293132482685</v>
      </c>
      <c r="X14"/>
      <c r="Y14" s="96" t="str">
        <f t="shared" si="7"/>
        <v>Perpetual discount</v>
      </c>
      <c r="Z14" s="98">
        <f t="shared" si="8"/>
        <v>7.0061237956422606E-2</v>
      </c>
      <c r="AA14" s="98"/>
      <c r="AB14" s="98"/>
      <c r="AC14" s="98"/>
      <c r="AD14" s="98"/>
      <c r="AE14" s="98"/>
      <c r="AF14" s="98"/>
      <c r="AG14" s="98"/>
      <c r="AH14" s="98"/>
      <c r="AI14" s="98"/>
      <c r="AJ14"/>
      <c r="AL14"/>
    </row>
    <row r="15" spans="1:41" ht="16">
      <c r="Y15" s="96"/>
      <c r="Z15" s="98"/>
      <c r="AA15" s="97"/>
      <c r="AB15" s="97"/>
      <c r="AC15" s="97"/>
      <c r="AD15" s="97"/>
      <c r="AE15" s="97"/>
      <c r="AF15" s="97"/>
      <c r="AG15" s="97"/>
      <c r="AH15" s="97"/>
      <c r="AI15" s="97"/>
    </row>
    <row r="16" spans="1:41" ht="16">
      <c r="A16" s="55" t="s">
        <v>156</v>
      </c>
      <c r="B16" s="22">
        <f>B2</f>
        <v>2021</v>
      </c>
      <c r="C16" s="22">
        <f t="shared" ref="C16:M16" si="10">C2</f>
        <v>2022</v>
      </c>
      <c r="D16" s="22">
        <f t="shared" si="10"/>
        <v>2023</v>
      </c>
      <c r="E16" s="22">
        <f t="shared" si="10"/>
        <v>2024</v>
      </c>
      <c r="F16" s="22">
        <f t="shared" si="10"/>
        <v>2025</v>
      </c>
      <c r="G16" s="22">
        <f t="shared" si="10"/>
        <v>2026</v>
      </c>
      <c r="H16" s="22">
        <f t="shared" si="10"/>
        <v>2027</v>
      </c>
      <c r="I16" s="22">
        <f t="shared" si="10"/>
        <v>2028</v>
      </c>
      <c r="J16" s="22">
        <f t="shared" si="10"/>
        <v>2029</v>
      </c>
      <c r="K16" s="22">
        <f t="shared" si="10"/>
        <v>2030</v>
      </c>
      <c r="L16" s="22">
        <f t="shared" si="10"/>
        <v>2031</v>
      </c>
      <c r="M16" s="22">
        <f t="shared" si="10"/>
        <v>2032</v>
      </c>
      <c r="Y16" s="96"/>
      <c r="Z16" s="98"/>
      <c r="AA16" s="97"/>
      <c r="AB16" s="97"/>
      <c r="AC16" s="97"/>
      <c r="AD16" s="97"/>
      <c r="AE16" s="97"/>
      <c r="AF16" s="97"/>
      <c r="AG16" s="97"/>
      <c r="AH16" s="97"/>
      <c r="AI16" s="97"/>
    </row>
    <row r="17" spans="1:13">
      <c r="A17" s="56" t="s">
        <v>157</v>
      </c>
      <c r="B17" s="64">
        <v>1</v>
      </c>
      <c r="C17" s="64">
        <v>1</v>
      </c>
      <c r="D17" s="64">
        <v>1</v>
      </c>
      <c r="E17" s="64">
        <v>1</v>
      </c>
      <c r="F17" s="64">
        <v>1</v>
      </c>
      <c r="G17" s="64">
        <v>1</v>
      </c>
      <c r="H17" s="64">
        <v>1</v>
      </c>
      <c r="I17" s="64">
        <v>1</v>
      </c>
      <c r="J17" s="64">
        <v>1</v>
      </c>
      <c r="K17" s="64">
        <v>1</v>
      </c>
      <c r="L17" s="64">
        <v>1</v>
      </c>
      <c r="M17" s="64">
        <v>1</v>
      </c>
    </row>
    <row r="18" spans="1:13">
      <c r="A18" s="56" t="s">
        <v>158</v>
      </c>
      <c r="B18" s="64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20" spans="1:13">
      <c r="A20" s="55" t="s">
        <v>159</v>
      </c>
      <c r="B20" s="22">
        <f>B16</f>
        <v>2021</v>
      </c>
      <c r="C20" s="22">
        <f t="shared" ref="C20:M20" si="11">C16</f>
        <v>2022</v>
      </c>
      <c r="D20" s="22">
        <f t="shared" si="11"/>
        <v>2023</v>
      </c>
      <c r="E20" s="22">
        <f t="shared" si="11"/>
        <v>2024</v>
      </c>
      <c r="F20" s="22">
        <f t="shared" si="11"/>
        <v>2025</v>
      </c>
      <c r="G20" s="22">
        <f t="shared" si="11"/>
        <v>2026</v>
      </c>
      <c r="H20" s="22">
        <f t="shared" si="11"/>
        <v>2027</v>
      </c>
      <c r="I20" s="22">
        <f t="shared" si="11"/>
        <v>2028</v>
      </c>
      <c r="J20" s="22">
        <f t="shared" si="11"/>
        <v>2029</v>
      </c>
      <c r="K20" s="22">
        <f t="shared" si="11"/>
        <v>2030</v>
      </c>
      <c r="L20" s="22">
        <f t="shared" si="11"/>
        <v>2031</v>
      </c>
      <c r="M20" s="22">
        <f t="shared" si="11"/>
        <v>2032</v>
      </c>
    </row>
    <row r="21" spans="1:13">
      <c r="A21" s="56" t="s">
        <v>160</v>
      </c>
      <c r="B21" s="10">
        <v>0.31836843508397761</v>
      </c>
      <c r="C21" s="10">
        <v>0.32744910103957109</v>
      </c>
      <c r="D21" s="10">
        <v>0.33</v>
      </c>
      <c r="E21" s="10">
        <v>0.33</v>
      </c>
      <c r="F21" s="10">
        <v>0.32</v>
      </c>
      <c r="G21" s="10">
        <v>0.32</v>
      </c>
      <c r="H21" s="10">
        <v>0.32</v>
      </c>
      <c r="I21" s="10">
        <v>0.32</v>
      </c>
      <c r="J21" s="10">
        <v>0.31</v>
      </c>
      <c r="K21" s="10">
        <v>0.31</v>
      </c>
      <c r="L21" s="10">
        <v>0.31</v>
      </c>
      <c r="M21" s="10">
        <v>0.31</v>
      </c>
    </row>
    <row r="22" spans="1:13">
      <c r="A22" s="56" t="s">
        <v>161</v>
      </c>
      <c r="B22" s="10">
        <v>0.16650493201812849</v>
      </c>
      <c r="C22" s="10">
        <v>0.16205512781353024</v>
      </c>
      <c r="D22" s="10">
        <v>0.16999999999999998</v>
      </c>
      <c r="E22" s="10">
        <v>0.18</v>
      </c>
      <c r="F22" s="10">
        <v>0.18</v>
      </c>
      <c r="G22" s="10">
        <v>0.18</v>
      </c>
      <c r="H22" s="10">
        <v>0.19</v>
      </c>
      <c r="I22" s="10">
        <v>0.19</v>
      </c>
      <c r="J22" s="10">
        <v>0.19</v>
      </c>
      <c r="K22" s="10">
        <v>0.19999999999999998</v>
      </c>
      <c r="L22" s="10">
        <v>0.19999999999999998</v>
      </c>
      <c r="M22" s="10">
        <v>0.19999999999999998</v>
      </c>
    </row>
    <row r="23" spans="1:13">
      <c r="A23" s="56" t="s">
        <v>162</v>
      </c>
      <c r="B23" s="10">
        <v>0.26295921087709945</v>
      </c>
      <c r="C23" s="10">
        <v>0.26084071495528899</v>
      </c>
      <c r="D23" s="10">
        <v>0.26</v>
      </c>
      <c r="E23" s="10">
        <v>0.25</v>
      </c>
      <c r="F23" s="10">
        <v>0.25</v>
      </c>
      <c r="G23" s="10">
        <v>0.25</v>
      </c>
      <c r="H23" s="10">
        <v>0.24</v>
      </c>
      <c r="I23" s="10">
        <v>0.24</v>
      </c>
      <c r="J23" s="10">
        <v>0.24</v>
      </c>
      <c r="K23" s="10">
        <v>0.23</v>
      </c>
      <c r="L23" s="10">
        <v>0.23</v>
      </c>
      <c r="M23" s="10">
        <v>0.23</v>
      </c>
    </row>
    <row r="24" spans="1:13">
      <c r="A24" s="56" t="s">
        <v>163</v>
      </c>
      <c r="B24" s="10">
        <v>1.4241070492250258E-2</v>
      </c>
      <c r="C24" s="10">
        <v>1.4882342192353765E-2</v>
      </c>
      <c r="D24" s="10">
        <v>0.05</v>
      </c>
      <c r="E24" s="10">
        <v>0.01</v>
      </c>
      <c r="F24" s="10">
        <v>0.01</v>
      </c>
      <c r="G24" s="10">
        <v>0.05</v>
      </c>
      <c r="H24" s="10">
        <v>0.01</v>
      </c>
      <c r="I24" s="10">
        <v>0.01</v>
      </c>
      <c r="J24" s="10">
        <v>0.05</v>
      </c>
      <c r="K24" s="10">
        <v>0.01</v>
      </c>
      <c r="L24" s="10">
        <v>0.01</v>
      </c>
      <c r="M24" s="10">
        <v>0.05</v>
      </c>
    </row>
    <row r="25" spans="1:13">
      <c r="A25" s="56" t="s">
        <v>164</v>
      </c>
      <c r="B25" s="9">
        <v>8.3333333333333329E-2</v>
      </c>
      <c r="C25" s="9">
        <v>0.17417721518987342</v>
      </c>
      <c r="D25" s="67">
        <v>0.13200000000000001</v>
      </c>
      <c r="E25" s="67">
        <v>0.13200000000000001</v>
      </c>
      <c r="F25" s="67">
        <v>0.13200000000000001</v>
      </c>
      <c r="G25" s="67">
        <v>0.13200000000000001</v>
      </c>
      <c r="H25" s="67">
        <v>0.13200000000000001</v>
      </c>
      <c r="I25" s="67">
        <v>0.13200000000000001</v>
      </c>
      <c r="J25" s="67">
        <v>0.13200000000000001</v>
      </c>
      <c r="K25" s="67">
        <v>0.13200000000000001</v>
      </c>
      <c r="L25" s="67">
        <v>0.13200000000000001</v>
      </c>
      <c r="M25" s="67">
        <v>0.13200000000000001</v>
      </c>
    </row>
    <row r="26" spans="1:13">
      <c r="A26" s="56" t="s">
        <v>165</v>
      </c>
      <c r="B26" s="10">
        <v>0.15448680351906158</v>
      </c>
      <c r="C26" s="10">
        <v>0.14879453988182384</v>
      </c>
      <c r="D26" s="10">
        <v>0.17</v>
      </c>
      <c r="E26" s="10">
        <v>0.19</v>
      </c>
      <c r="F26" s="10">
        <v>0.2</v>
      </c>
      <c r="G26" s="10">
        <v>0.2</v>
      </c>
      <c r="H26" s="10">
        <v>0.2</v>
      </c>
      <c r="I26" s="10">
        <v>0.2</v>
      </c>
      <c r="J26" s="10">
        <v>0.2</v>
      </c>
      <c r="K26" s="10">
        <v>0.2</v>
      </c>
      <c r="L26" s="10">
        <v>0.2</v>
      </c>
      <c r="M26" s="10">
        <v>0.2</v>
      </c>
    </row>
    <row r="27" spans="1:13">
      <c r="A27" s="56" t="s">
        <v>170</v>
      </c>
      <c r="B27" s="10">
        <v>0.16297520661157025</v>
      </c>
      <c r="C27" s="10">
        <v>0.17020738759044901</v>
      </c>
      <c r="D27" s="10">
        <v>0.16512590447750758</v>
      </c>
      <c r="E27" s="10">
        <v>0.17</v>
      </c>
      <c r="F27" s="10">
        <v>0.17</v>
      </c>
      <c r="G27" s="10">
        <v>0.17</v>
      </c>
      <c r="H27" s="10">
        <v>0.17</v>
      </c>
      <c r="I27" s="10">
        <v>0.17</v>
      </c>
      <c r="J27" s="10">
        <v>0.17</v>
      </c>
      <c r="K27" s="10">
        <v>0.17</v>
      </c>
      <c r="L27" s="10">
        <v>0.17</v>
      </c>
      <c r="M27" s="10">
        <v>0.17</v>
      </c>
    </row>
    <row r="28" spans="1:13">
      <c r="A28" s="56" t="s">
        <v>166</v>
      </c>
      <c r="B28" s="10">
        <v>1.0885310583844308</v>
      </c>
      <c r="C28" s="10">
        <v>1.182614832057129</v>
      </c>
      <c r="D28" s="10">
        <v>1.1599999999999999</v>
      </c>
      <c r="E28" s="10">
        <v>1.1599999999999999</v>
      </c>
      <c r="F28" s="10">
        <v>1.1599999999999999</v>
      </c>
      <c r="G28" s="10">
        <v>1.1599999999999999</v>
      </c>
      <c r="H28" s="10">
        <v>1.1599999999999999</v>
      </c>
      <c r="I28" s="10">
        <v>1.1599999999999999</v>
      </c>
      <c r="J28" s="10">
        <v>1.1599999999999999</v>
      </c>
      <c r="K28" s="10">
        <v>1.1599999999999999</v>
      </c>
      <c r="L28" s="10">
        <v>1.1599999999999999</v>
      </c>
      <c r="M28" s="10">
        <v>1.1599999999999999</v>
      </c>
    </row>
    <row r="29" spans="1:13">
      <c r="A29" s="56" t="s">
        <v>168</v>
      </c>
      <c r="B29" s="10">
        <v>0.50844041588909628</v>
      </c>
      <c r="C29" s="10">
        <v>0.51876388991289513</v>
      </c>
      <c r="D29" s="10">
        <v>0.52400658125114252</v>
      </c>
      <c r="E29" s="10">
        <v>0.52400658125114252</v>
      </c>
      <c r="F29" s="10">
        <v>0.52400658125114252</v>
      </c>
      <c r="G29" s="10">
        <v>0.52400658125114252</v>
      </c>
      <c r="H29" s="10">
        <v>0.52400658125114252</v>
      </c>
      <c r="I29" s="10">
        <v>0.52400658125114252</v>
      </c>
      <c r="J29" s="10">
        <v>0.52400658125114252</v>
      </c>
      <c r="K29" s="10">
        <v>0.52400658125114252</v>
      </c>
      <c r="L29" s="10">
        <v>0.52400658125114252</v>
      </c>
      <c r="M29" s="10">
        <v>0.52400658125114252</v>
      </c>
    </row>
    <row r="30" spans="1:13">
      <c r="A30" s="56" t="s">
        <v>227</v>
      </c>
      <c r="B30" s="10">
        <v>0.48228205811783526</v>
      </c>
      <c r="C30" s="10">
        <v>0.58774211895558393</v>
      </c>
      <c r="D30" s="10">
        <v>0.59</v>
      </c>
      <c r="E30" s="10">
        <v>0.59</v>
      </c>
      <c r="F30" s="10">
        <v>0.57999999999999996</v>
      </c>
      <c r="G30" s="10">
        <v>0.57999999999999996</v>
      </c>
      <c r="H30" s="10">
        <v>0.57999999999999996</v>
      </c>
      <c r="I30" s="10">
        <v>0.56999999999999995</v>
      </c>
      <c r="J30" s="10">
        <v>0.56999999999999995</v>
      </c>
      <c r="K30" s="10">
        <v>0.56999999999999995</v>
      </c>
      <c r="L30" s="10">
        <v>0.56999999999999995</v>
      </c>
      <c r="M30" s="10">
        <v>0.56999999999999995</v>
      </c>
    </row>
    <row r="31" spans="1:13" s="81" customFormat="1">
      <c r="A31" s="79" t="s">
        <v>167</v>
      </c>
      <c r="B31" s="80">
        <v>0.67</v>
      </c>
      <c r="C31" s="80">
        <v>0.6</v>
      </c>
      <c r="D31" s="80">
        <v>0.57999999999999996</v>
      </c>
      <c r="E31" s="80">
        <v>0.6</v>
      </c>
      <c r="F31" s="80">
        <v>0.56999999999999995</v>
      </c>
      <c r="G31" s="80">
        <v>0.57999999999999996</v>
      </c>
      <c r="H31" s="80">
        <v>0.56999999999999995</v>
      </c>
      <c r="I31" s="80">
        <v>0.56000000000000005</v>
      </c>
      <c r="J31" s="80">
        <v>0.55000000000000004</v>
      </c>
      <c r="K31" s="80">
        <v>0.56000000000000005</v>
      </c>
      <c r="L31" s="80">
        <v>0.55000000000000004</v>
      </c>
      <c r="M31" s="80">
        <v>0.55000000000000004</v>
      </c>
    </row>
    <row r="32" spans="1:13">
      <c r="A32" s="50" t="s">
        <v>171</v>
      </c>
      <c r="D32" s="68">
        <v>2.4</v>
      </c>
    </row>
    <row r="33" spans="1:13">
      <c r="A33" s="50"/>
      <c r="D33" s="71"/>
    </row>
    <row r="34" spans="1:13">
      <c r="A34" s="82" t="s">
        <v>226</v>
      </c>
      <c r="D34" s="82">
        <v>373.34</v>
      </c>
    </row>
    <row r="37" spans="1:13">
      <c r="A37" s="8" t="s">
        <v>176</v>
      </c>
    </row>
    <row r="38" spans="1:13">
      <c r="A38" t="s">
        <v>115</v>
      </c>
      <c r="B38">
        <v>2021</v>
      </c>
      <c r="C38">
        <v>2022</v>
      </c>
      <c r="D38">
        <v>2023</v>
      </c>
      <c r="E38">
        <v>2024</v>
      </c>
      <c r="F38">
        <v>2025</v>
      </c>
      <c r="G38">
        <v>2026</v>
      </c>
      <c r="H38">
        <v>2027</v>
      </c>
      <c r="I38">
        <v>2028</v>
      </c>
      <c r="J38">
        <v>2029</v>
      </c>
      <c r="K38">
        <v>2030</v>
      </c>
      <c r="L38">
        <v>2031</v>
      </c>
      <c r="M38">
        <v>2032</v>
      </c>
    </row>
    <row r="39" spans="1:13">
      <c r="A39" s="69" t="s">
        <v>13</v>
      </c>
      <c r="B39" s="70" t="s">
        <v>14</v>
      </c>
      <c r="C39" s="70" t="s">
        <v>14</v>
      </c>
      <c r="D39" s="70" t="s">
        <v>14</v>
      </c>
      <c r="E39" s="70" t="s">
        <v>14</v>
      </c>
      <c r="F39" s="70" t="s">
        <v>14</v>
      </c>
      <c r="G39" s="70" t="s">
        <v>14</v>
      </c>
      <c r="H39" s="70" t="s">
        <v>14</v>
      </c>
      <c r="I39" s="70" t="s">
        <v>14</v>
      </c>
      <c r="J39" s="70" t="s">
        <v>14</v>
      </c>
      <c r="K39" s="70" t="s">
        <v>14</v>
      </c>
      <c r="L39" s="70" t="s">
        <v>14</v>
      </c>
      <c r="M39" s="70" t="s">
        <v>14</v>
      </c>
    </row>
    <row r="40" spans="1:13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spans="1:13">
      <c r="A41" s="22" t="s">
        <v>15</v>
      </c>
      <c r="B41" s="23">
        <v>93775</v>
      </c>
      <c r="C41" s="23">
        <v>94943</v>
      </c>
      <c r="D41" s="23">
        <f>C41*(1+D7)</f>
        <v>101114.295</v>
      </c>
      <c r="E41" s="23">
        <f t="shared" ref="E41:M41" si="12">D41*(1+E7)</f>
        <v>107686.724175</v>
      </c>
      <c r="F41" s="23">
        <f t="shared" si="12"/>
        <v>113071.06038374999</v>
      </c>
      <c r="G41" s="23">
        <f t="shared" si="12"/>
        <v>118724.6134029375</v>
      </c>
      <c r="H41" s="23">
        <f t="shared" si="12"/>
        <v>124660.84407308437</v>
      </c>
      <c r="I41" s="23">
        <f t="shared" si="12"/>
        <v>130893.8862767386</v>
      </c>
      <c r="J41" s="23">
        <f t="shared" si="12"/>
        <v>137438.58059057553</v>
      </c>
      <c r="K41" s="23">
        <f t="shared" si="12"/>
        <v>144310.50962010431</v>
      </c>
      <c r="L41" s="23">
        <f t="shared" si="12"/>
        <v>151526.03510110953</v>
      </c>
      <c r="M41" s="23">
        <f t="shared" si="12"/>
        <v>159102.33685616503</v>
      </c>
    </row>
    <row r="42" spans="1:13">
      <c r="A42" t="s">
        <v>16</v>
      </c>
      <c r="B42" s="23">
        <v>93775</v>
      </c>
      <c r="C42" s="23">
        <v>94943</v>
      </c>
      <c r="D42" s="23">
        <f>D41</f>
        <v>101114.295</v>
      </c>
      <c r="E42" s="23">
        <f t="shared" ref="E42:M42" si="13">E41</f>
        <v>107686.724175</v>
      </c>
      <c r="F42" s="23">
        <f t="shared" si="13"/>
        <v>113071.06038374999</v>
      </c>
      <c r="G42" s="23">
        <f t="shared" si="13"/>
        <v>118724.6134029375</v>
      </c>
      <c r="H42" s="23">
        <f t="shared" si="13"/>
        <v>124660.84407308437</v>
      </c>
      <c r="I42" s="23">
        <f t="shared" si="13"/>
        <v>130893.8862767386</v>
      </c>
      <c r="J42" s="23">
        <f t="shared" si="13"/>
        <v>137438.58059057553</v>
      </c>
      <c r="K42" s="23">
        <f t="shared" si="13"/>
        <v>144310.50962010431</v>
      </c>
      <c r="L42" s="23">
        <f t="shared" si="13"/>
        <v>151526.03510110953</v>
      </c>
      <c r="M42" s="23">
        <f t="shared" si="13"/>
        <v>159102.33685616503</v>
      </c>
    </row>
    <row r="43" spans="1:13">
      <c r="A43" t="s">
        <v>141</v>
      </c>
      <c r="B43" s="23">
        <v>29855</v>
      </c>
      <c r="C43" s="23">
        <v>31089</v>
      </c>
      <c r="D43" s="23">
        <f>D41*D21</f>
        <v>33367.717349999999</v>
      </c>
      <c r="E43" s="23">
        <f t="shared" ref="E43:M43" si="14">E41*E21</f>
        <v>35536.618977749997</v>
      </c>
      <c r="F43" s="23">
        <f t="shared" si="14"/>
        <v>36182.7393228</v>
      </c>
      <c r="G43" s="23">
        <f t="shared" si="14"/>
        <v>37991.876288940002</v>
      </c>
      <c r="H43" s="23">
        <f t="shared" si="14"/>
        <v>39891.470103387001</v>
      </c>
      <c r="I43" s="23">
        <f t="shared" si="14"/>
        <v>41886.043608556356</v>
      </c>
      <c r="J43" s="23">
        <f t="shared" si="14"/>
        <v>42605.959983078414</v>
      </c>
      <c r="K43" s="23">
        <f t="shared" si="14"/>
        <v>44736.257982232331</v>
      </c>
      <c r="L43" s="23">
        <f t="shared" si="14"/>
        <v>46973.070881343956</v>
      </c>
      <c r="M43" s="23">
        <f t="shared" si="14"/>
        <v>49321.724425411157</v>
      </c>
    </row>
    <row r="44" spans="1:13">
      <c r="A44" s="22" t="s">
        <v>18</v>
      </c>
      <c r="B44" s="23">
        <v>63920</v>
      </c>
      <c r="C44" s="23">
        <v>63854</v>
      </c>
      <c r="D44" s="23">
        <f>D41-D43</f>
        <v>67746.577649999992</v>
      </c>
      <c r="E44" s="23">
        <f t="shared" ref="E44:M44" si="15">E41-E43</f>
        <v>72150.105197249999</v>
      </c>
      <c r="F44" s="23">
        <f t="shared" si="15"/>
        <v>76888.321060949995</v>
      </c>
      <c r="G44" s="23">
        <f t="shared" si="15"/>
        <v>80732.737113997486</v>
      </c>
      <c r="H44" s="23">
        <f t="shared" si="15"/>
        <v>84769.373969697364</v>
      </c>
      <c r="I44" s="23">
        <f t="shared" si="15"/>
        <v>89007.842668182246</v>
      </c>
      <c r="J44" s="23">
        <f t="shared" si="15"/>
        <v>94832.620607497112</v>
      </c>
      <c r="K44" s="23">
        <f t="shared" si="15"/>
        <v>99574.251637871974</v>
      </c>
      <c r="L44" s="23">
        <f t="shared" si="15"/>
        <v>104552.96421976558</v>
      </c>
      <c r="M44" s="23">
        <f t="shared" si="15"/>
        <v>109780.61243075387</v>
      </c>
    </row>
    <row r="45" spans="1:13">
      <c r="A45" t="s">
        <v>19</v>
      </c>
      <c r="B45" s="23">
        <v>24659</v>
      </c>
      <c r="C45" s="23">
        <v>24765</v>
      </c>
      <c r="D45" s="23">
        <f>D41*D23</f>
        <v>26289.716700000001</v>
      </c>
      <c r="E45" s="23">
        <f t="shared" ref="E45:M45" si="16">E41*E23</f>
        <v>26921.681043749999</v>
      </c>
      <c r="F45" s="23">
        <f t="shared" si="16"/>
        <v>28267.765095937499</v>
      </c>
      <c r="G45" s="23">
        <f t="shared" si="16"/>
        <v>29681.153350734374</v>
      </c>
      <c r="H45" s="23">
        <f t="shared" si="16"/>
        <v>29918.602577540249</v>
      </c>
      <c r="I45" s="23">
        <f t="shared" si="16"/>
        <v>31414.532706417263</v>
      </c>
      <c r="J45" s="23">
        <f t="shared" si="16"/>
        <v>32985.259341738129</v>
      </c>
      <c r="K45" s="23">
        <f t="shared" si="16"/>
        <v>33191.417212623994</v>
      </c>
      <c r="L45" s="23">
        <f t="shared" si="16"/>
        <v>34850.988073255197</v>
      </c>
      <c r="M45" s="23">
        <f t="shared" si="16"/>
        <v>36593.537476917954</v>
      </c>
    </row>
    <row r="46" spans="1:13">
      <c r="A46" t="s">
        <v>20</v>
      </c>
      <c r="B46" s="23">
        <v>15614</v>
      </c>
      <c r="C46" s="23">
        <v>15386</v>
      </c>
      <c r="D46" s="23">
        <f>D22*D41</f>
        <v>17189.430149999997</v>
      </c>
      <c r="E46" s="23">
        <f t="shared" ref="E46:M46" si="17">E22*E41</f>
        <v>19383.6103515</v>
      </c>
      <c r="F46" s="23">
        <f t="shared" si="17"/>
        <v>20352.790869074997</v>
      </c>
      <c r="G46" s="23">
        <f t="shared" si="17"/>
        <v>21370.430412528749</v>
      </c>
      <c r="H46" s="23">
        <f t="shared" si="17"/>
        <v>23685.56037388603</v>
      </c>
      <c r="I46" s="23">
        <f t="shared" si="17"/>
        <v>24869.838392580335</v>
      </c>
      <c r="J46" s="23">
        <f t="shared" si="17"/>
        <v>26113.330312209349</v>
      </c>
      <c r="K46" s="23">
        <f t="shared" si="17"/>
        <v>28862.101924020859</v>
      </c>
      <c r="L46" s="23">
        <f t="shared" si="17"/>
        <v>30305.207020221904</v>
      </c>
      <c r="M46" s="23">
        <f t="shared" si="17"/>
        <v>31820.467371233004</v>
      </c>
    </row>
    <row r="47" spans="1:13">
      <c r="A47" t="s">
        <v>21</v>
      </c>
      <c r="B47" s="23">
        <v>252</v>
      </c>
      <c r="C47" s="23">
        <v>321</v>
      </c>
      <c r="D47" s="23">
        <f>D41*0.31%</f>
        <v>313.45431450000001</v>
      </c>
      <c r="E47" s="23">
        <f t="shared" ref="E47:M47" si="18">E41*0.31%</f>
        <v>333.82884494249998</v>
      </c>
      <c r="F47" s="23">
        <f t="shared" si="18"/>
        <v>350.52028718962498</v>
      </c>
      <c r="G47" s="23">
        <f t="shared" si="18"/>
        <v>368.0463015491062</v>
      </c>
      <c r="H47" s="23">
        <f t="shared" si="18"/>
        <v>386.44861662656155</v>
      </c>
      <c r="I47" s="23">
        <f t="shared" si="18"/>
        <v>405.77104745788967</v>
      </c>
      <c r="J47" s="23">
        <f t="shared" si="18"/>
        <v>426.05959983078412</v>
      </c>
      <c r="K47" s="23">
        <f t="shared" si="18"/>
        <v>447.36257982232331</v>
      </c>
      <c r="L47" s="23">
        <f t="shared" si="18"/>
        <v>469.73070881343955</v>
      </c>
      <c r="M47" s="23">
        <f t="shared" si="18"/>
        <v>493.21724425411156</v>
      </c>
    </row>
    <row r="48" spans="1:13">
      <c r="A48" t="s">
        <v>23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</row>
    <row r="49" spans="1:13">
      <c r="A49" s="22" t="s">
        <v>24</v>
      </c>
      <c r="B49" s="23">
        <v>40525</v>
      </c>
      <c r="C49" s="23">
        <v>40472</v>
      </c>
      <c r="D49" s="23">
        <f>SUM(D45:D48)</f>
        <v>43792.601164499996</v>
      </c>
      <c r="E49" s="23">
        <f t="shared" ref="E49:M49" si="19">SUM(E45:E48)</f>
        <v>46639.120240192497</v>
      </c>
      <c r="F49" s="23">
        <f t="shared" si="19"/>
        <v>48971.076252202118</v>
      </c>
      <c r="G49" s="23">
        <f t="shared" si="19"/>
        <v>51419.630064812227</v>
      </c>
      <c r="H49" s="23">
        <f t="shared" si="19"/>
        <v>53990.611568052838</v>
      </c>
      <c r="I49" s="23">
        <f t="shared" si="19"/>
        <v>56690.142146455488</v>
      </c>
      <c r="J49" s="23">
        <f t="shared" si="19"/>
        <v>59524.649253778261</v>
      </c>
      <c r="K49" s="23">
        <f t="shared" si="19"/>
        <v>62500.881716467178</v>
      </c>
      <c r="L49" s="23">
        <f t="shared" si="19"/>
        <v>65625.925802290541</v>
      </c>
      <c r="M49" s="23">
        <f t="shared" si="19"/>
        <v>68907.222092405063</v>
      </c>
    </row>
    <row r="50" spans="1:13">
      <c r="A50" t="s">
        <v>25</v>
      </c>
      <c r="B50" s="23">
        <v>23395</v>
      </c>
      <c r="C50" s="23">
        <v>23382</v>
      </c>
      <c r="D50" s="23">
        <f>D44-D49</f>
        <v>23953.976485499996</v>
      </c>
      <c r="E50" s="23">
        <f>E44-E49</f>
        <v>25510.984957057502</v>
      </c>
      <c r="F50" s="23">
        <f t="shared" ref="F50:M50" si="20">F44-F49</f>
        <v>27917.244808747877</v>
      </c>
      <c r="G50" s="23">
        <f t="shared" si="20"/>
        <v>29313.107049185259</v>
      </c>
      <c r="H50" s="23">
        <f t="shared" si="20"/>
        <v>30778.762401644526</v>
      </c>
      <c r="I50" s="23">
        <f t="shared" si="20"/>
        <v>32317.700521726758</v>
      </c>
      <c r="J50" s="23">
        <f t="shared" si="20"/>
        <v>35307.971353718851</v>
      </c>
      <c r="K50" s="23">
        <f t="shared" si="20"/>
        <v>37073.369921404796</v>
      </c>
      <c r="L50" s="23">
        <f t="shared" si="20"/>
        <v>38927.038417475036</v>
      </c>
      <c r="M50" s="23">
        <f t="shared" si="20"/>
        <v>40873.390338348807</v>
      </c>
    </row>
    <row r="51" spans="1:13">
      <c r="A51" s="8" t="s">
        <v>175</v>
      </c>
      <c r="B51" s="23">
        <v>-130</v>
      </c>
      <c r="C51" s="23">
        <v>214</v>
      </c>
      <c r="D51" s="23">
        <v>-256.60000000000002</v>
      </c>
      <c r="E51" s="23">
        <v>-256.60000000000002</v>
      </c>
      <c r="F51" s="23">
        <v>-256.60000000000002</v>
      </c>
      <c r="G51" s="23">
        <v>-256.60000000000002</v>
      </c>
      <c r="H51" s="23">
        <v>-256.60000000000002</v>
      </c>
      <c r="I51" s="23">
        <v>-256.60000000000002</v>
      </c>
      <c r="J51" s="23">
        <v>-256.60000000000002</v>
      </c>
      <c r="K51" s="23">
        <v>-256.60000000000002</v>
      </c>
      <c r="L51" s="23">
        <v>-256.60000000000002</v>
      </c>
      <c r="M51" s="23">
        <v>-256.60000000000002</v>
      </c>
    </row>
    <row r="52" spans="1:13">
      <c r="A52" t="s">
        <v>172</v>
      </c>
      <c r="B52" s="23">
        <v>-489</v>
      </c>
      <c r="C52" s="23">
        <v>-1871</v>
      </c>
      <c r="D52" s="23">
        <v>-1022</v>
      </c>
      <c r="E52" s="23">
        <v>-1022</v>
      </c>
      <c r="F52" s="23">
        <v>-1022</v>
      </c>
      <c r="G52" s="23">
        <v>-1022</v>
      </c>
      <c r="H52" s="23">
        <v>-1022</v>
      </c>
      <c r="I52" s="23">
        <v>-1022</v>
      </c>
      <c r="J52" s="23">
        <v>-1022</v>
      </c>
      <c r="K52" s="23">
        <v>-1022</v>
      </c>
      <c r="L52" s="23">
        <v>-1022</v>
      </c>
      <c r="M52" s="23">
        <v>-1022</v>
      </c>
    </row>
    <row r="53" spans="1:13">
      <c r="A53" s="22" t="s">
        <v>173</v>
      </c>
      <c r="B53" s="23">
        <f>SUM(B51+B52)</f>
        <v>-619</v>
      </c>
      <c r="C53" s="23">
        <f t="shared" ref="C53:M53" si="21">SUM(C51+C52)</f>
        <v>-1657</v>
      </c>
      <c r="D53" s="23">
        <f t="shared" si="21"/>
        <v>-1278.5999999999999</v>
      </c>
      <c r="E53" s="23">
        <f t="shared" si="21"/>
        <v>-1278.5999999999999</v>
      </c>
      <c r="F53" s="23">
        <f t="shared" si="21"/>
        <v>-1278.5999999999999</v>
      </c>
      <c r="G53" s="23">
        <f t="shared" si="21"/>
        <v>-1278.5999999999999</v>
      </c>
      <c r="H53" s="23">
        <f t="shared" si="21"/>
        <v>-1278.5999999999999</v>
      </c>
      <c r="I53" s="23">
        <f t="shared" si="21"/>
        <v>-1278.5999999999999</v>
      </c>
      <c r="J53" s="23">
        <f t="shared" si="21"/>
        <v>-1278.5999999999999</v>
      </c>
      <c r="K53" s="23">
        <f t="shared" si="21"/>
        <v>-1278.5999999999999</v>
      </c>
      <c r="L53" s="23">
        <f t="shared" si="21"/>
        <v>-1278.5999999999999</v>
      </c>
      <c r="M53" s="23">
        <f t="shared" si="21"/>
        <v>-1278.5999999999999</v>
      </c>
    </row>
    <row r="54" spans="1:13">
      <c r="A54" s="22" t="s">
        <v>174</v>
      </c>
      <c r="B54" s="23">
        <f>B50+B53</f>
        <v>22776</v>
      </c>
      <c r="C54" s="23">
        <f t="shared" ref="C54:M54" si="22">C50+C53</f>
        <v>21725</v>
      </c>
      <c r="D54" s="23">
        <f t="shared" si="22"/>
        <v>22675.376485499997</v>
      </c>
      <c r="E54" s="23">
        <f t="shared" si="22"/>
        <v>24232.384957057504</v>
      </c>
      <c r="F54" s="23">
        <f t="shared" si="22"/>
        <v>26638.644808747878</v>
      </c>
      <c r="G54" s="23">
        <f t="shared" si="22"/>
        <v>28034.50704918526</v>
      </c>
      <c r="H54" s="23">
        <f t="shared" si="22"/>
        <v>29500.162401644528</v>
      </c>
      <c r="I54" s="23">
        <f t="shared" si="22"/>
        <v>31039.100521726759</v>
      </c>
      <c r="J54" s="23">
        <f t="shared" si="22"/>
        <v>34029.371353718852</v>
      </c>
      <c r="K54" s="23">
        <f t="shared" si="22"/>
        <v>35794.769921404797</v>
      </c>
      <c r="L54" s="23">
        <f t="shared" si="22"/>
        <v>37648.438417475038</v>
      </c>
      <c r="M54" s="23">
        <f t="shared" si="22"/>
        <v>39594.790338348808</v>
      </c>
    </row>
    <row r="55" spans="1:13">
      <c r="A55" t="s">
        <v>30</v>
      </c>
      <c r="B55" s="23">
        <f t="shared" ref="B55:M55" si="23">B54*B25</f>
        <v>1898</v>
      </c>
      <c r="C55" s="23">
        <f t="shared" si="23"/>
        <v>3784</v>
      </c>
      <c r="D55" s="23">
        <f t="shared" si="23"/>
        <v>2993.1496960859999</v>
      </c>
      <c r="E55" s="23">
        <f t="shared" si="23"/>
        <v>3198.6748143315908</v>
      </c>
      <c r="F55" s="23">
        <f t="shared" si="23"/>
        <v>3516.3011147547199</v>
      </c>
      <c r="G55" s="23">
        <f t="shared" si="23"/>
        <v>3700.5549304924543</v>
      </c>
      <c r="H55" s="23">
        <f t="shared" si="23"/>
        <v>3894.0214370170779</v>
      </c>
      <c r="I55" s="23">
        <f t="shared" si="23"/>
        <v>4097.1612688679324</v>
      </c>
      <c r="J55" s="23">
        <f t="shared" si="23"/>
        <v>4491.8770186908887</v>
      </c>
      <c r="K55" s="23">
        <f t="shared" si="23"/>
        <v>4724.9096296254338</v>
      </c>
      <c r="L55" s="23">
        <f t="shared" si="23"/>
        <v>4969.5938711067056</v>
      </c>
      <c r="M55" s="23">
        <f t="shared" si="23"/>
        <v>5226.5123246620433</v>
      </c>
    </row>
    <row r="56" spans="1:13">
      <c r="A56" s="22" t="s">
        <v>33</v>
      </c>
      <c r="B56" s="23">
        <f>B54-B55</f>
        <v>20878</v>
      </c>
      <c r="C56" s="23">
        <f t="shared" ref="C56:M56" si="24">C54-C55</f>
        <v>17941</v>
      </c>
      <c r="D56" s="23">
        <f t="shared" si="24"/>
        <v>19682.226789413999</v>
      </c>
      <c r="E56" s="23">
        <f t="shared" si="24"/>
        <v>21033.710142725911</v>
      </c>
      <c r="F56" s="23">
        <f t="shared" si="24"/>
        <v>23122.34369399316</v>
      </c>
      <c r="G56" s="23">
        <f t="shared" si="24"/>
        <v>24333.952118692807</v>
      </c>
      <c r="H56" s="23">
        <f t="shared" si="24"/>
        <v>25606.140964627448</v>
      </c>
      <c r="I56" s="23">
        <f t="shared" si="24"/>
        <v>26941.939252858829</v>
      </c>
      <c r="J56" s="23">
        <f t="shared" si="24"/>
        <v>29537.494335027965</v>
      </c>
      <c r="K56" s="23">
        <f t="shared" si="24"/>
        <v>31069.860291779361</v>
      </c>
      <c r="L56" s="23">
        <f t="shared" si="24"/>
        <v>32678.844546368331</v>
      </c>
      <c r="M56" s="23">
        <f t="shared" si="24"/>
        <v>34368.278013686766</v>
      </c>
    </row>
    <row r="57" spans="1:13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>
      <c r="A60" s="22" t="s">
        <v>183</v>
      </c>
      <c r="B60" s="23">
        <v>679</v>
      </c>
      <c r="C60" s="23">
        <v>733</v>
      </c>
      <c r="D60" s="23">
        <f t="shared" ref="D60:M60" si="25">AVERAGE(C70:D70)*D24</f>
        <v>2555.9389009642373</v>
      </c>
      <c r="E60" s="23">
        <f t="shared" si="25"/>
        <v>547.06554109823003</v>
      </c>
      <c r="F60" s="23">
        <f t="shared" si="25"/>
        <v>578.39265985603413</v>
      </c>
      <c r="G60" s="23">
        <f t="shared" si="25"/>
        <v>3036.5614642441797</v>
      </c>
      <c r="H60" s="23">
        <f t="shared" si="25"/>
        <v>637.67790749127778</v>
      </c>
      <c r="I60" s="23">
        <f t="shared" si="25"/>
        <v>669.56180286584163</v>
      </c>
      <c r="J60" s="23">
        <f t="shared" si="25"/>
        <v>3515.1994650456691</v>
      </c>
      <c r="K60" s="23">
        <f t="shared" si="25"/>
        <v>738.19188765959041</v>
      </c>
      <c r="L60" s="23">
        <f t="shared" si="25"/>
        <v>775.10148204256996</v>
      </c>
      <c r="M60" s="23">
        <f t="shared" si="25"/>
        <v>4069.282780723493</v>
      </c>
    </row>
    <row r="61" spans="1:13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>
      <c r="A62" s="22" t="s">
        <v>177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>
      <c r="A63" s="22" t="s">
        <v>43</v>
      </c>
      <c r="B63" s="23">
        <f t="shared" ref="B63:M63" si="26">B41*B26</f>
        <v>14487</v>
      </c>
      <c r="C63" s="23">
        <f t="shared" si="26"/>
        <v>14127</v>
      </c>
      <c r="D63" s="23">
        <f t="shared" si="26"/>
        <v>17189.43015</v>
      </c>
      <c r="E63" s="23">
        <f t="shared" si="26"/>
        <v>20460.477593249998</v>
      </c>
      <c r="F63" s="23">
        <f t="shared" si="26"/>
        <v>22614.212076750002</v>
      </c>
      <c r="G63" s="23">
        <f t="shared" si="26"/>
        <v>23744.922680587501</v>
      </c>
      <c r="H63" s="23">
        <f t="shared" si="26"/>
        <v>24932.168814616874</v>
      </c>
      <c r="I63" s="23">
        <f t="shared" si="26"/>
        <v>26178.777255347723</v>
      </c>
      <c r="J63" s="23">
        <f t="shared" si="26"/>
        <v>27487.716118115106</v>
      </c>
      <c r="K63" s="23">
        <f t="shared" si="26"/>
        <v>28862.101924020862</v>
      </c>
      <c r="L63" s="23">
        <f t="shared" si="26"/>
        <v>30305.207020221907</v>
      </c>
      <c r="M63" s="23">
        <f t="shared" si="26"/>
        <v>31820.467371233008</v>
      </c>
    </row>
    <row r="64" spans="1:13">
      <c r="A64" t="s">
        <v>44</v>
      </c>
      <c r="B64" s="23">
        <f>B41*BS!J67</f>
        <v>17121</v>
      </c>
      <c r="C64" s="23">
        <f>C41*BS!K67</f>
        <v>9392</v>
      </c>
      <c r="D64" s="23">
        <f>D41*BS!$L$67</f>
        <v>15201.487219987293</v>
      </c>
      <c r="E64" s="23">
        <f>E41*BS!$L$67</f>
        <v>16189.583889286469</v>
      </c>
      <c r="F64" s="23">
        <f>F41*BS!$L$67</f>
        <v>16999.063083750792</v>
      </c>
      <c r="G64" s="23">
        <f>G41*BS!$L$67</f>
        <v>17849.016237938329</v>
      </c>
      <c r="H64" s="23">
        <f>H41*BS!$L$67</f>
        <v>18741.467049835246</v>
      </c>
      <c r="I64" s="23">
        <f>I41*BS!$L$67</f>
        <v>19678.540402327013</v>
      </c>
      <c r="J64" s="23">
        <f>J41*BS!$L$67</f>
        <v>20662.467422443362</v>
      </c>
      <c r="K64" s="23">
        <f>K41*BS!$L$67</f>
        <v>21695.59079356553</v>
      </c>
      <c r="L64" s="23">
        <f>L41*BS!$L$67</f>
        <v>22780.370333243809</v>
      </c>
      <c r="M64" s="23">
        <f>M41*BS!$L$67</f>
        <v>23919.388849906001</v>
      </c>
    </row>
    <row r="65" spans="1:13">
      <c r="A65" t="s">
        <v>45</v>
      </c>
      <c r="B65" s="23">
        <f>B63+B64</f>
        <v>31608</v>
      </c>
      <c r="C65" s="23">
        <f t="shared" ref="C65:M65" si="27">C63+C64</f>
        <v>23519</v>
      </c>
      <c r="D65" s="23">
        <f t="shared" si="27"/>
        <v>32390.917369987292</v>
      </c>
      <c r="E65" s="23">
        <f t="shared" si="27"/>
        <v>36650.061482536468</v>
      </c>
      <c r="F65" s="23">
        <f t="shared" si="27"/>
        <v>39613.275160500794</v>
      </c>
      <c r="G65" s="23">
        <f t="shared" si="27"/>
        <v>41593.938918525833</v>
      </c>
      <c r="H65" s="23">
        <f t="shared" si="27"/>
        <v>43673.635864452124</v>
      </c>
      <c r="I65" s="23">
        <f t="shared" si="27"/>
        <v>45857.317657674736</v>
      </c>
      <c r="J65" s="23">
        <f t="shared" si="27"/>
        <v>48150.183540558472</v>
      </c>
      <c r="K65" s="23">
        <f t="shared" si="27"/>
        <v>50557.692717586397</v>
      </c>
      <c r="L65" s="23">
        <f t="shared" si="27"/>
        <v>53085.57735346572</v>
      </c>
      <c r="M65" s="23">
        <f t="shared" si="27"/>
        <v>55739.856221139009</v>
      </c>
    </row>
    <row r="66" spans="1:13">
      <c r="A66" t="s">
        <v>46</v>
      </c>
      <c r="B66" s="23">
        <f t="shared" ref="B66:M66" si="28">B27*B41</f>
        <v>15283</v>
      </c>
      <c r="C66" s="23">
        <f t="shared" si="28"/>
        <v>16160</v>
      </c>
      <c r="D66" s="23">
        <f t="shared" si="28"/>
        <v>16696.589417480522</v>
      </c>
      <c r="E66" s="23">
        <f t="shared" si="28"/>
        <v>18306.743109750001</v>
      </c>
      <c r="F66" s="23">
        <f t="shared" si="28"/>
        <v>19222.080265237499</v>
      </c>
      <c r="G66" s="23">
        <f t="shared" si="28"/>
        <v>20183.184278499375</v>
      </c>
      <c r="H66" s="23">
        <f t="shared" si="28"/>
        <v>21192.343492424345</v>
      </c>
      <c r="I66" s="23">
        <f t="shared" si="28"/>
        <v>22251.960667045565</v>
      </c>
      <c r="J66" s="23">
        <f t="shared" si="28"/>
        <v>23364.55870039784</v>
      </c>
      <c r="K66" s="23">
        <f t="shared" si="28"/>
        <v>24532.786635417735</v>
      </c>
      <c r="L66" s="23">
        <f t="shared" si="28"/>
        <v>25759.425967188621</v>
      </c>
      <c r="M66" s="23">
        <f t="shared" si="28"/>
        <v>27047.397265548057</v>
      </c>
    </row>
    <row r="67" spans="1:13">
      <c r="A67" t="s">
        <v>47</v>
      </c>
      <c r="B67" s="23">
        <f>B41*BS!J69</f>
        <v>10387</v>
      </c>
      <c r="C67" s="23">
        <f>C41*BS!K69</f>
        <v>12482.999999999998</v>
      </c>
      <c r="D67" s="23">
        <f>D41*BS!$L$69</f>
        <v>11467.825471570086</v>
      </c>
      <c r="E67" s="23">
        <f>E41*BS!$L$69</f>
        <v>12213.23412722214</v>
      </c>
      <c r="F67" s="23">
        <f>F41*BS!$L$69</f>
        <v>12823.895833583249</v>
      </c>
      <c r="G67" s="23">
        <f>G41*BS!$L$69</f>
        <v>13465.09062526241</v>
      </c>
      <c r="H67" s="23">
        <f>H41*BS!$L$69</f>
        <v>14138.345156525531</v>
      </c>
      <c r="I67" s="23">
        <f>I41*BS!$L$69</f>
        <v>14845.26241435181</v>
      </c>
      <c r="J67" s="23">
        <f>J41*BS!$L$69</f>
        <v>15587.525535069399</v>
      </c>
      <c r="K67" s="23">
        <f>K41*BS!$L$69</f>
        <v>16366.901811822869</v>
      </c>
      <c r="L67" s="23">
        <f>L41*BS!$L$69</f>
        <v>17185.246902414015</v>
      </c>
      <c r="M67" s="23">
        <f>M41*BS!$L$69</f>
        <v>18044.509247534716</v>
      </c>
    </row>
    <row r="68" spans="1:13">
      <c r="A68" s="8" t="s">
        <v>216</v>
      </c>
      <c r="B68" s="23">
        <f>B41*BS!J70</f>
        <v>3701</v>
      </c>
      <c r="C68" s="23">
        <f>C41*BS!K70</f>
        <v>3132</v>
      </c>
      <c r="D68" s="23">
        <f>D41*0.04</f>
        <v>4044.5718000000002</v>
      </c>
      <c r="E68" s="23">
        <f t="shared" ref="E68:M68" si="29">E41*0.04</f>
        <v>4307.4689669999998</v>
      </c>
      <c r="F68" s="23">
        <f t="shared" si="29"/>
        <v>4522.84241535</v>
      </c>
      <c r="G68" s="23">
        <f t="shared" si="29"/>
        <v>4748.9845361175003</v>
      </c>
      <c r="H68" s="23">
        <f t="shared" si="29"/>
        <v>4986.4337629233751</v>
      </c>
      <c r="I68" s="23">
        <f t="shared" si="29"/>
        <v>5235.7554510695445</v>
      </c>
      <c r="J68" s="23">
        <f t="shared" si="29"/>
        <v>5497.5432236230208</v>
      </c>
      <c r="K68" s="23">
        <f t="shared" si="29"/>
        <v>5772.4203848041725</v>
      </c>
      <c r="L68" s="23">
        <f t="shared" si="29"/>
        <v>6061.0414040443811</v>
      </c>
      <c r="M68" s="23">
        <f t="shared" si="29"/>
        <v>6364.0934742466015</v>
      </c>
    </row>
    <row r="69" spans="1:13">
      <c r="A69" s="22" t="s">
        <v>51</v>
      </c>
      <c r="B69" s="23">
        <f>SUM(B65:B68)</f>
        <v>60979</v>
      </c>
      <c r="C69" s="23">
        <f>SUM(C65:C68)</f>
        <v>55294</v>
      </c>
      <c r="D69" s="23">
        <f>SUM(D65:D68)</f>
        <v>64599.904059037894</v>
      </c>
      <c r="E69" s="23">
        <f>SUM(E65:E68)</f>
        <v>71477.507686508601</v>
      </c>
      <c r="F69" s="23">
        <f t="shared" ref="F69:M69" si="30">SUM(F65:F68)</f>
        <v>76182.093674671531</v>
      </c>
      <c r="G69" s="23">
        <f t="shared" si="30"/>
        <v>79991.19835840512</v>
      </c>
      <c r="H69" s="23">
        <f t="shared" si="30"/>
        <v>83990.758276325389</v>
      </c>
      <c r="I69" s="23">
        <f t="shared" si="30"/>
        <v>88190.296190141657</v>
      </c>
      <c r="J69" s="23">
        <f t="shared" si="30"/>
        <v>92599.810999648747</v>
      </c>
      <c r="K69" s="23">
        <f t="shared" si="30"/>
        <v>97229.801549631171</v>
      </c>
      <c r="L69" s="23">
        <f t="shared" si="30"/>
        <v>102091.29162711275</v>
      </c>
      <c r="M69" s="23">
        <f t="shared" si="30"/>
        <v>107195.85620846839</v>
      </c>
    </row>
    <row r="70" spans="1:13">
      <c r="A70" t="s">
        <v>52</v>
      </c>
      <c r="B70" s="23">
        <f t="shared" ref="B70:M70" si="31">B42*B29</f>
        <v>47679</v>
      </c>
      <c r="C70" s="23">
        <f t="shared" si="31"/>
        <v>49253</v>
      </c>
      <c r="D70" s="23">
        <f t="shared" si="31"/>
        <v>52984.556038569492</v>
      </c>
      <c r="E70" s="23">
        <f t="shared" si="31"/>
        <v>56428.552181076506</v>
      </c>
      <c r="F70" s="23">
        <f t="shared" si="31"/>
        <v>59249.979790130332</v>
      </c>
      <c r="G70" s="23">
        <f t="shared" si="31"/>
        <v>62212.478779636855</v>
      </c>
      <c r="H70" s="23">
        <f t="shared" si="31"/>
        <v>65323.102718618698</v>
      </c>
      <c r="I70" s="23">
        <f t="shared" si="31"/>
        <v>68589.257854549636</v>
      </c>
      <c r="J70" s="23">
        <f t="shared" si="31"/>
        <v>72018.720747277112</v>
      </c>
      <c r="K70" s="23">
        <f t="shared" si="31"/>
        <v>75619.656784640974</v>
      </c>
      <c r="L70" s="23">
        <f t="shared" si="31"/>
        <v>79400.639623873023</v>
      </c>
      <c r="M70" s="23">
        <f t="shared" si="31"/>
        <v>83370.671605066687</v>
      </c>
    </row>
    <row r="71" spans="1:13">
      <c r="A71" t="s">
        <v>53</v>
      </c>
      <c r="B71" s="23">
        <v>28717</v>
      </c>
      <c r="C71" s="23">
        <v>29450</v>
      </c>
      <c r="D71" s="23">
        <f>C71+D60</f>
        <v>32005.938900964236</v>
      </c>
      <c r="E71" s="23">
        <f t="shared" ref="E71:M71" si="32">D71+E60</f>
        <v>32553.004442062465</v>
      </c>
      <c r="F71" s="23">
        <f t="shared" si="32"/>
        <v>33131.397101918497</v>
      </c>
      <c r="G71" s="23">
        <f t="shared" si="32"/>
        <v>36167.958566162677</v>
      </c>
      <c r="H71" s="23">
        <f t="shared" si="32"/>
        <v>36805.636473653954</v>
      </c>
      <c r="I71" s="23">
        <f t="shared" si="32"/>
        <v>37475.198276519797</v>
      </c>
      <c r="J71" s="23">
        <f t="shared" si="32"/>
        <v>40990.397741565466</v>
      </c>
      <c r="K71" s="23">
        <f t="shared" si="32"/>
        <v>41728.589629225055</v>
      </c>
      <c r="L71" s="23">
        <f t="shared" si="32"/>
        <v>42503.691111267624</v>
      </c>
      <c r="M71" s="23">
        <f t="shared" si="32"/>
        <v>46572.973891991118</v>
      </c>
    </row>
    <row r="72" spans="1:13">
      <c r="A72" t="s">
        <v>54</v>
      </c>
      <c r="B72" s="23">
        <f>B70-B71</f>
        <v>18962</v>
      </c>
      <c r="C72" s="23">
        <f t="shared" ref="C72:M72" si="33">C70-C71</f>
        <v>19803</v>
      </c>
      <c r="D72" s="23">
        <f t="shared" si="33"/>
        <v>20978.617137605255</v>
      </c>
      <c r="E72" s="23">
        <f t="shared" si="33"/>
        <v>23875.54773901404</v>
      </c>
      <c r="F72" s="23">
        <f t="shared" si="33"/>
        <v>26118.582688211834</v>
      </c>
      <c r="G72" s="23">
        <f t="shared" si="33"/>
        <v>26044.520213474178</v>
      </c>
      <c r="H72" s="23">
        <f t="shared" si="33"/>
        <v>28517.466244964744</v>
      </c>
      <c r="I72" s="23">
        <f t="shared" si="33"/>
        <v>31114.059578029839</v>
      </c>
      <c r="J72" s="23">
        <f t="shared" si="33"/>
        <v>31028.323005711645</v>
      </c>
      <c r="K72" s="23">
        <f t="shared" si="33"/>
        <v>33891.06715541592</v>
      </c>
      <c r="L72" s="23">
        <f t="shared" si="33"/>
        <v>36896.948512605399</v>
      </c>
      <c r="M72" s="23">
        <f t="shared" si="33"/>
        <v>36797.697713075569</v>
      </c>
    </row>
    <row r="73" spans="1:13">
      <c r="A73" t="s">
        <v>57</v>
      </c>
      <c r="B73" s="23">
        <f>B41*BS!J66</f>
        <v>102077</v>
      </c>
      <c r="C73" s="23">
        <f>C41*BS!K66</f>
        <v>112281</v>
      </c>
      <c r="D73" s="23">
        <f>D41*1.16</f>
        <v>117292.58219999999</v>
      </c>
      <c r="E73" s="23">
        <f t="shared" ref="E73:M73" si="34">E41*1.16</f>
        <v>124916.60004299998</v>
      </c>
      <c r="F73" s="23">
        <f t="shared" si="34"/>
        <v>131162.43004514999</v>
      </c>
      <c r="G73" s="23">
        <f t="shared" si="34"/>
        <v>137720.55154740749</v>
      </c>
      <c r="H73" s="23">
        <f t="shared" si="34"/>
        <v>144606.57912477787</v>
      </c>
      <c r="I73" s="23">
        <f t="shared" si="34"/>
        <v>151836.90808101677</v>
      </c>
      <c r="J73" s="23">
        <f t="shared" si="34"/>
        <v>159428.7534850676</v>
      </c>
      <c r="K73" s="23">
        <f t="shared" si="34"/>
        <v>167400.191159321</v>
      </c>
      <c r="L73" s="23">
        <f t="shared" si="34"/>
        <v>175770.20071728705</v>
      </c>
      <c r="M73" s="23">
        <f t="shared" si="34"/>
        <v>184558.71075315142</v>
      </c>
    </row>
    <row r="74" spans="1:13">
      <c r="A74" s="22" t="s">
        <v>58</v>
      </c>
      <c r="B74" s="23">
        <f>B69+B73+B72</f>
        <v>182018</v>
      </c>
      <c r="C74" s="23">
        <f t="shared" ref="C74:M74" si="35">C69+C73+C72</f>
        <v>187378</v>
      </c>
      <c r="D74" s="23">
        <f t="shared" si="35"/>
        <v>202871.10339664316</v>
      </c>
      <c r="E74" s="23">
        <f t="shared" si="35"/>
        <v>220269.65546852263</v>
      </c>
      <c r="F74" s="23">
        <f t="shared" si="35"/>
        <v>233463.10640803337</v>
      </c>
      <c r="G74" s="23">
        <f t="shared" si="35"/>
        <v>243756.27011928678</v>
      </c>
      <c r="H74" s="23">
        <f t="shared" si="35"/>
        <v>257114.803646068</v>
      </c>
      <c r="I74" s="23">
        <f t="shared" si="35"/>
        <v>271141.26384918828</v>
      </c>
      <c r="J74" s="23">
        <f t="shared" si="35"/>
        <v>283056.88749042799</v>
      </c>
      <c r="K74" s="23">
        <f t="shared" si="35"/>
        <v>298521.05986436806</v>
      </c>
      <c r="L74" s="23">
        <f t="shared" si="35"/>
        <v>314758.44085700519</v>
      </c>
      <c r="M74" s="23">
        <f t="shared" si="35"/>
        <v>328552.26467469538</v>
      </c>
    </row>
    <row r="75" spans="1:13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>
      <c r="A76" t="s">
        <v>218</v>
      </c>
      <c r="B76" s="23">
        <f t="shared" ref="B76:M76" si="36">B41*B30</f>
        <v>45226</v>
      </c>
      <c r="C76" s="23">
        <f t="shared" si="36"/>
        <v>55802.000000000007</v>
      </c>
      <c r="D76" s="23">
        <f t="shared" si="36"/>
        <v>59657.434049999996</v>
      </c>
      <c r="E76" s="23">
        <f t="shared" si="36"/>
        <v>63535.167263249998</v>
      </c>
      <c r="F76" s="23">
        <f t="shared" si="36"/>
        <v>65581.215022574994</v>
      </c>
      <c r="G76" s="23">
        <f t="shared" si="36"/>
        <v>68860.275773703746</v>
      </c>
      <c r="H76" s="23">
        <f t="shared" si="36"/>
        <v>72303.289562388934</v>
      </c>
      <c r="I76" s="23">
        <f t="shared" si="36"/>
        <v>74609.515177740992</v>
      </c>
      <c r="J76" s="23">
        <f t="shared" si="36"/>
        <v>78339.990936628048</v>
      </c>
      <c r="K76" s="23">
        <f t="shared" si="36"/>
        <v>82256.990483459449</v>
      </c>
      <c r="L76" s="23">
        <f t="shared" si="36"/>
        <v>86369.840007632432</v>
      </c>
      <c r="M76" s="23">
        <f t="shared" si="36"/>
        <v>90688.332008014055</v>
      </c>
    </row>
    <row r="77" spans="1:13">
      <c r="A77" t="s">
        <v>63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</row>
    <row r="78" spans="1:13">
      <c r="A78" s="22" t="s">
        <v>64</v>
      </c>
      <c r="B78" s="23">
        <f>B76+B77</f>
        <v>45226</v>
      </c>
      <c r="C78" s="23">
        <f t="shared" ref="C78:M78" si="37">C76+C77</f>
        <v>55802.000000000007</v>
      </c>
      <c r="D78" s="23">
        <f t="shared" si="37"/>
        <v>59657.434049999996</v>
      </c>
      <c r="E78" s="23">
        <f t="shared" si="37"/>
        <v>63535.167263249998</v>
      </c>
      <c r="F78" s="23">
        <f t="shared" si="37"/>
        <v>65581.215022574994</v>
      </c>
      <c r="G78" s="23">
        <f t="shared" si="37"/>
        <v>68860.275773703746</v>
      </c>
      <c r="H78" s="23">
        <f t="shared" si="37"/>
        <v>72303.289562388934</v>
      </c>
      <c r="I78" s="23">
        <f t="shared" si="37"/>
        <v>74609.515177740992</v>
      </c>
      <c r="J78" s="23">
        <f t="shared" si="37"/>
        <v>78339.990936628048</v>
      </c>
      <c r="K78" s="23">
        <f t="shared" si="37"/>
        <v>82256.990483459449</v>
      </c>
      <c r="L78" s="23">
        <f t="shared" si="37"/>
        <v>86369.840007632432</v>
      </c>
      <c r="M78" s="23">
        <f t="shared" si="37"/>
        <v>90688.332008014055</v>
      </c>
    </row>
    <row r="79" spans="1:13">
      <c r="A79" t="s">
        <v>220</v>
      </c>
      <c r="B79" s="23">
        <f>BS!J36+BS!J37+BS!J38+BS!J39+BS!J40</f>
        <v>62769</v>
      </c>
      <c r="C79" s="23">
        <f>BS!K36+BS!K37+BS!K38+BS!K39+BS!K40</f>
        <v>54772</v>
      </c>
      <c r="D79" s="23">
        <f>D131</f>
        <v>54772</v>
      </c>
      <c r="E79" s="23">
        <f t="shared" ref="E79:M79" si="38">E131</f>
        <v>54772</v>
      </c>
      <c r="F79" s="23">
        <f t="shared" si="38"/>
        <v>54772</v>
      </c>
      <c r="G79" s="23">
        <f t="shared" si="38"/>
        <v>54772</v>
      </c>
      <c r="H79" s="23">
        <f t="shared" si="38"/>
        <v>54772</v>
      </c>
      <c r="I79" s="23">
        <f t="shared" si="38"/>
        <v>54772</v>
      </c>
      <c r="J79" s="23">
        <f t="shared" si="38"/>
        <v>54772</v>
      </c>
      <c r="K79" s="23">
        <f t="shared" si="38"/>
        <v>54772</v>
      </c>
      <c r="L79" s="23">
        <f t="shared" si="38"/>
        <v>54772</v>
      </c>
      <c r="M79" s="23">
        <f t="shared" si="38"/>
        <v>54772</v>
      </c>
    </row>
    <row r="80" spans="1:13">
      <c r="A80" s="22" t="s">
        <v>70</v>
      </c>
      <c r="B80" s="23">
        <f>BS!J41</f>
        <v>107995</v>
      </c>
      <c r="C80" s="23">
        <f>BS!K41</f>
        <v>110574</v>
      </c>
      <c r="D80" s="23">
        <f>D78+D79</f>
        <v>114429.43405</v>
      </c>
      <c r="E80" s="23">
        <f t="shared" ref="E80:M80" si="39">E78+E79</f>
        <v>118307.16726325</v>
      </c>
      <c r="F80" s="23">
        <f t="shared" si="39"/>
        <v>120353.21502257499</v>
      </c>
      <c r="G80" s="23">
        <f t="shared" si="39"/>
        <v>123632.27577370375</v>
      </c>
      <c r="H80" s="23">
        <f t="shared" si="39"/>
        <v>127075.28956238893</v>
      </c>
      <c r="I80" s="23">
        <f t="shared" si="39"/>
        <v>129381.51517774099</v>
      </c>
      <c r="J80" s="23">
        <f t="shared" si="39"/>
        <v>133111.99093662805</v>
      </c>
      <c r="K80" s="23">
        <f t="shared" si="39"/>
        <v>137028.99048345943</v>
      </c>
      <c r="L80" s="23">
        <f t="shared" si="39"/>
        <v>141141.84000763245</v>
      </c>
      <c r="M80" s="23">
        <f t="shared" si="39"/>
        <v>145460.33200801405</v>
      </c>
    </row>
    <row r="81" spans="1:13">
      <c r="A81" t="s">
        <v>72</v>
      </c>
      <c r="B81" s="23">
        <f>BS!J43</f>
        <v>123060</v>
      </c>
      <c r="C81" s="23">
        <f>BS!K43</f>
        <v>128345</v>
      </c>
      <c r="D81" s="23">
        <f t="shared" ref="D81:M81" si="40">C81+D56*(1-D18)</f>
        <v>148027.22678941401</v>
      </c>
      <c r="E81" s="23">
        <f t="shared" si="40"/>
        <v>169060.93693213991</v>
      </c>
      <c r="F81" s="23">
        <f t="shared" si="40"/>
        <v>192183.28062613308</v>
      </c>
      <c r="G81" s="23">
        <f t="shared" si="40"/>
        <v>216517.23274482589</v>
      </c>
      <c r="H81" s="23">
        <f t="shared" si="40"/>
        <v>242123.37370945333</v>
      </c>
      <c r="I81" s="23">
        <f t="shared" si="40"/>
        <v>269065.31296231213</v>
      </c>
      <c r="J81" s="23">
        <f t="shared" si="40"/>
        <v>298602.80729734013</v>
      </c>
      <c r="K81" s="23">
        <f t="shared" si="40"/>
        <v>329672.66758911952</v>
      </c>
      <c r="L81" s="23">
        <f t="shared" si="40"/>
        <v>362351.51213548786</v>
      </c>
      <c r="M81" s="23">
        <f t="shared" si="40"/>
        <v>396719.79014917463</v>
      </c>
    </row>
    <row r="82" spans="1:13">
      <c r="A82" s="22" t="s">
        <v>77</v>
      </c>
      <c r="B82" s="23">
        <f>BS!J48</f>
        <v>74023</v>
      </c>
      <c r="C82" s="23">
        <f>BS!K48</f>
        <v>76804</v>
      </c>
      <c r="D82" s="23">
        <f>D83-D80</f>
        <v>88441.669346643161</v>
      </c>
      <c r="E82" s="23">
        <f t="shared" ref="E82:M82" si="41">E83-E80</f>
        <v>101962.48820527263</v>
      </c>
      <c r="F82" s="23">
        <f t="shared" si="41"/>
        <v>113109.89138545838</v>
      </c>
      <c r="G82" s="23">
        <f t="shared" si="41"/>
        <v>120123.99434558304</v>
      </c>
      <c r="H82" s="23">
        <f t="shared" si="41"/>
        <v>130039.51408367907</v>
      </c>
      <c r="I82" s="23">
        <f t="shared" si="41"/>
        <v>141759.74867144728</v>
      </c>
      <c r="J82" s="23">
        <f t="shared" si="41"/>
        <v>149944.89655379995</v>
      </c>
      <c r="K82" s="23">
        <f t="shared" si="41"/>
        <v>161492.06938090862</v>
      </c>
      <c r="L82" s="23">
        <f t="shared" si="41"/>
        <v>173616.60084937274</v>
      </c>
      <c r="M82" s="23">
        <f t="shared" si="41"/>
        <v>183091.93266668133</v>
      </c>
    </row>
    <row r="83" spans="1:13">
      <c r="A83" t="s">
        <v>78</v>
      </c>
      <c r="B83" s="23">
        <f>B74</f>
        <v>182018</v>
      </c>
      <c r="C83" s="23">
        <f t="shared" ref="C83:M83" si="42">C74</f>
        <v>187378</v>
      </c>
      <c r="D83" s="23">
        <f t="shared" si="42"/>
        <v>202871.10339664316</v>
      </c>
      <c r="E83" s="23">
        <f t="shared" si="42"/>
        <v>220269.65546852263</v>
      </c>
      <c r="F83" s="23">
        <f t="shared" si="42"/>
        <v>233463.10640803337</v>
      </c>
      <c r="G83" s="23">
        <f t="shared" si="42"/>
        <v>243756.27011928678</v>
      </c>
      <c r="H83" s="23">
        <f t="shared" si="42"/>
        <v>257114.803646068</v>
      </c>
      <c r="I83" s="23">
        <f t="shared" si="42"/>
        <v>271141.26384918828</v>
      </c>
      <c r="J83" s="23">
        <f t="shared" si="42"/>
        <v>283056.88749042799</v>
      </c>
      <c r="K83" s="23">
        <f t="shared" si="42"/>
        <v>298521.05986436806</v>
      </c>
      <c r="L83" s="23">
        <f t="shared" si="42"/>
        <v>314758.44085700519</v>
      </c>
      <c r="M83" s="23">
        <f t="shared" si="42"/>
        <v>328552.26467469538</v>
      </c>
    </row>
    <row r="86" spans="1:13">
      <c r="A86" s="60" t="s">
        <v>186</v>
      </c>
      <c r="B86" s="22">
        <v>2021</v>
      </c>
      <c r="C86" s="22">
        <v>2022</v>
      </c>
      <c r="D86" s="22">
        <v>2023</v>
      </c>
      <c r="E86" s="22">
        <v>2024</v>
      </c>
      <c r="F86" s="22">
        <v>2025</v>
      </c>
      <c r="G86" s="22">
        <v>2026</v>
      </c>
      <c r="H86" s="22">
        <v>2027</v>
      </c>
      <c r="I86" s="22">
        <v>2028</v>
      </c>
      <c r="J86" s="22">
        <v>2029</v>
      </c>
      <c r="K86" s="22">
        <v>2030</v>
      </c>
      <c r="L86" s="22">
        <v>2031</v>
      </c>
      <c r="M86" s="22">
        <v>2032</v>
      </c>
    </row>
    <row r="88" spans="1:13">
      <c r="A88" s="52" t="s">
        <v>187</v>
      </c>
      <c r="B88" s="23">
        <f>SUM(B66:B68)-SUM(BS!I17:I21)</f>
        <v>3319</v>
      </c>
      <c r="C88" s="23">
        <f t="shared" ref="C88:M88" si="43">SUM(C66:C68)-SUM(B66:B68)</f>
        <v>2404</v>
      </c>
      <c r="D88" s="23">
        <f t="shared" si="43"/>
        <v>433.98668905060913</v>
      </c>
      <c r="E88" s="23">
        <f t="shared" si="43"/>
        <v>2618.4595149215311</v>
      </c>
      <c r="F88" s="23">
        <f t="shared" si="43"/>
        <v>1741.3723101986106</v>
      </c>
      <c r="G88" s="23">
        <f t="shared" si="43"/>
        <v>1828.4409257085354</v>
      </c>
      <c r="H88" s="23">
        <f t="shared" si="43"/>
        <v>1919.8629719939636</v>
      </c>
      <c r="I88" s="23">
        <f t="shared" si="43"/>
        <v>2015.8561205936712</v>
      </c>
      <c r="J88" s="23">
        <f t="shared" si="43"/>
        <v>2116.648926623333</v>
      </c>
      <c r="K88" s="23">
        <f t="shared" si="43"/>
        <v>2222.4813729545203</v>
      </c>
      <c r="L88" s="23">
        <f t="shared" si="43"/>
        <v>2333.6054416022453</v>
      </c>
      <c r="M88" s="23">
        <f t="shared" si="43"/>
        <v>2450.2857136823513</v>
      </c>
    </row>
    <row r="89" spans="1:13">
      <c r="A89" s="52" t="s">
        <v>188</v>
      </c>
      <c r="B89" s="23">
        <f>B70-BS!I23</f>
        <v>875</v>
      </c>
      <c r="C89" s="23">
        <f t="shared" ref="C89:M89" si="44">C70-B70</f>
        <v>1574</v>
      </c>
      <c r="D89" s="23">
        <f t="shared" si="44"/>
        <v>3731.5560385694916</v>
      </c>
      <c r="E89" s="23">
        <f t="shared" si="44"/>
        <v>3443.9961425070142</v>
      </c>
      <c r="F89" s="23">
        <f t="shared" si="44"/>
        <v>2821.427609053826</v>
      </c>
      <c r="G89" s="23">
        <f t="shared" si="44"/>
        <v>2962.4989895065228</v>
      </c>
      <c r="H89" s="23">
        <f t="shared" si="44"/>
        <v>3110.6239389818438</v>
      </c>
      <c r="I89" s="23">
        <f t="shared" si="44"/>
        <v>3266.1551359309378</v>
      </c>
      <c r="J89" s="23">
        <f t="shared" si="44"/>
        <v>3429.4628927274753</v>
      </c>
      <c r="K89" s="23">
        <f t="shared" si="44"/>
        <v>3600.9360373638629</v>
      </c>
      <c r="L89" s="23">
        <f t="shared" si="44"/>
        <v>3780.9828392320487</v>
      </c>
      <c r="M89" s="23">
        <f t="shared" si="44"/>
        <v>3970.0319811936643</v>
      </c>
    </row>
    <row r="90" spans="1:13">
      <c r="A90" s="52" t="s">
        <v>189</v>
      </c>
      <c r="B90" s="23">
        <f t="shared" ref="B90:M90" si="45">B60</f>
        <v>679</v>
      </c>
      <c r="C90" s="23">
        <f t="shared" si="45"/>
        <v>733</v>
      </c>
      <c r="D90" s="23">
        <f t="shared" si="45"/>
        <v>2555.9389009642373</v>
      </c>
      <c r="E90" s="23">
        <f t="shared" si="45"/>
        <v>547.06554109823003</v>
      </c>
      <c r="F90" s="23">
        <f t="shared" si="45"/>
        <v>578.39265985603413</v>
      </c>
      <c r="G90" s="23">
        <f t="shared" si="45"/>
        <v>3036.5614642441797</v>
      </c>
      <c r="H90" s="23">
        <f t="shared" si="45"/>
        <v>637.67790749127778</v>
      </c>
      <c r="I90" s="23">
        <f t="shared" si="45"/>
        <v>669.56180286584163</v>
      </c>
      <c r="J90" s="23">
        <f t="shared" si="45"/>
        <v>3515.1994650456691</v>
      </c>
      <c r="K90" s="23">
        <f t="shared" si="45"/>
        <v>738.19188765959041</v>
      </c>
      <c r="L90" s="23">
        <f t="shared" si="45"/>
        <v>775.10148204256996</v>
      </c>
      <c r="M90" s="23">
        <f t="shared" si="45"/>
        <v>4069.282780723493</v>
      </c>
    </row>
    <row r="91" spans="1:13">
      <c r="A91" s="52" t="s">
        <v>190</v>
      </c>
      <c r="B91" s="23">
        <f>B89+B90</f>
        <v>1554</v>
      </c>
      <c r="C91" s="23">
        <f t="shared" ref="C91:M91" si="46">C89+C90</f>
        <v>2307</v>
      </c>
      <c r="D91" s="23">
        <f t="shared" si="46"/>
        <v>6287.4949395337289</v>
      </c>
      <c r="E91" s="23">
        <f t="shared" si="46"/>
        <v>3991.0616836052441</v>
      </c>
      <c r="F91" s="23">
        <f t="shared" si="46"/>
        <v>3399.8202689098603</v>
      </c>
      <c r="G91" s="23">
        <f t="shared" si="46"/>
        <v>5999.0604537507024</v>
      </c>
      <c r="H91" s="23">
        <f t="shared" si="46"/>
        <v>3748.3018464731217</v>
      </c>
      <c r="I91" s="23">
        <f t="shared" si="46"/>
        <v>3935.7169387967797</v>
      </c>
      <c r="J91" s="23">
        <f t="shared" si="46"/>
        <v>6944.6623577731443</v>
      </c>
      <c r="K91" s="23">
        <f t="shared" si="46"/>
        <v>4339.1279250234529</v>
      </c>
      <c r="L91" s="23">
        <f t="shared" si="46"/>
        <v>4556.0843212746186</v>
      </c>
      <c r="M91" s="23">
        <f t="shared" si="46"/>
        <v>8039.3147619171577</v>
      </c>
    </row>
    <row r="92" spans="1:13">
      <c r="A92" s="52" t="s">
        <v>191</v>
      </c>
      <c r="B92" s="23">
        <f>B88+B91</f>
        <v>4873</v>
      </c>
      <c r="C92" s="23">
        <f t="shared" ref="C92:M92" si="47">C88+C91</f>
        <v>4711</v>
      </c>
      <c r="D92" s="23">
        <f t="shared" si="47"/>
        <v>6721.4816285843381</v>
      </c>
      <c r="E92" s="23">
        <f t="shared" si="47"/>
        <v>6609.5211985267752</v>
      </c>
      <c r="F92" s="23">
        <f t="shared" si="47"/>
        <v>5141.1925791084705</v>
      </c>
      <c r="G92" s="23">
        <f t="shared" si="47"/>
        <v>7827.5013794592378</v>
      </c>
      <c r="H92" s="23">
        <f t="shared" si="47"/>
        <v>5668.1648184670848</v>
      </c>
      <c r="I92" s="23">
        <f t="shared" si="47"/>
        <v>5951.5730593904509</v>
      </c>
      <c r="J92" s="23">
        <f t="shared" si="47"/>
        <v>9061.3112843964773</v>
      </c>
      <c r="K92" s="23">
        <f t="shared" si="47"/>
        <v>6561.6092979779733</v>
      </c>
      <c r="L92" s="23">
        <f t="shared" si="47"/>
        <v>6889.6897628768638</v>
      </c>
      <c r="M92" s="23">
        <f t="shared" si="47"/>
        <v>10489.600475599509</v>
      </c>
    </row>
    <row r="93" spans="1:1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>
      <c r="A94" s="60" t="s">
        <v>192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>
      <c r="A96" s="60" t="s">
        <v>193</v>
      </c>
      <c r="B96" s="23">
        <f>B92</f>
        <v>4873</v>
      </c>
      <c r="C96" s="23">
        <f t="shared" ref="C96:M96" si="48">C92</f>
        <v>4711</v>
      </c>
      <c r="D96" s="23">
        <f t="shared" si="48"/>
        <v>6721.4816285843381</v>
      </c>
      <c r="E96" s="23">
        <f t="shared" si="48"/>
        <v>6609.5211985267752</v>
      </c>
      <c r="F96" s="23">
        <f t="shared" si="48"/>
        <v>5141.1925791084705</v>
      </c>
      <c r="G96" s="23">
        <f t="shared" si="48"/>
        <v>7827.5013794592378</v>
      </c>
      <c r="H96" s="23">
        <f t="shared" si="48"/>
        <v>5668.1648184670848</v>
      </c>
      <c r="I96" s="23">
        <f t="shared" si="48"/>
        <v>5951.5730593904509</v>
      </c>
      <c r="J96" s="23">
        <f t="shared" si="48"/>
        <v>9061.3112843964773</v>
      </c>
      <c r="K96" s="23">
        <f t="shared" si="48"/>
        <v>6561.6092979779733</v>
      </c>
      <c r="L96" s="23">
        <f t="shared" si="48"/>
        <v>6889.6897628768638</v>
      </c>
      <c r="M96" s="23">
        <f t="shared" si="48"/>
        <v>10489.600475599509</v>
      </c>
    </row>
    <row r="97" spans="1:13">
      <c r="A97" s="61" t="s">
        <v>194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>
      <c r="A98" s="52" t="s">
        <v>195</v>
      </c>
      <c r="B98" s="23">
        <f t="shared" ref="B98:M98" si="49">B56</f>
        <v>20878</v>
      </c>
      <c r="C98" s="23">
        <f t="shared" si="49"/>
        <v>17941</v>
      </c>
      <c r="D98" s="23">
        <f t="shared" si="49"/>
        <v>19682.226789413999</v>
      </c>
      <c r="E98" s="23">
        <f t="shared" si="49"/>
        <v>21033.710142725911</v>
      </c>
      <c r="F98" s="23">
        <f t="shared" si="49"/>
        <v>23122.34369399316</v>
      </c>
      <c r="G98" s="23">
        <f t="shared" si="49"/>
        <v>24333.952118692807</v>
      </c>
      <c r="H98" s="23">
        <f t="shared" si="49"/>
        <v>25606.140964627448</v>
      </c>
      <c r="I98" s="23">
        <f t="shared" si="49"/>
        <v>26941.939252858829</v>
      </c>
      <c r="J98" s="23">
        <f t="shared" si="49"/>
        <v>29537.494335027965</v>
      </c>
      <c r="K98" s="23">
        <f t="shared" si="49"/>
        <v>31069.860291779361</v>
      </c>
      <c r="L98" s="23">
        <f t="shared" si="49"/>
        <v>32678.844546368331</v>
      </c>
      <c r="M98" s="23">
        <f t="shared" si="49"/>
        <v>34368.278013686766</v>
      </c>
    </row>
    <row r="99" spans="1:13">
      <c r="A99" s="52" t="s">
        <v>182</v>
      </c>
      <c r="B99" s="23">
        <f t="shared" ref="B99:M99" si="50">B60</f>
        <v>679</v>
      </c>
      <c r="C99" s="23">
        <f t="shared" si="50"/>
        <v>733</v>
      </c>
      <c r="D99" s="23">
        <f t="shared" si="50"/>
        <v>2555.9389009642373</v>
      </c>
      <c r="E99" s="23">
        <f t="shared" si="50"/>
        <v>547.06554109823003</v>
      </c>
      <c r="F99" s="23">
        <f t="shared" si="50"/>
        <v>578.39265985603413</v>
      </c>
      <c r="G99" s="23">
        <f t="shared" si="50"/>
        <v>3036.5614642441797</v>
      </c>
      <c r="H99" s="23">
        <f t="shared" si="50"/>
        <v>637.67790749127778</v>
      </c>
      <c r="I99" s="23">
        <f t="shared" si="50"/>
        <v>669.56180286584163</v>
      </c>
      <c r="J99" s="23">
        <f t="shared" si="50"/>
        <v>3515.1994650456691</v>
      </c>
      <c r="K99" s="23">
        <f t="shared" si="50"/>
        <v>738.19188765959041</v>
      </c>
      <c r="L99" s="23">
        <f t="shared" si="50"/>
        <v>775.10148204256996</v>
      </c>
      <c r="M99" s="23">
        <f t="shared" si="50"/>
        <v>4069.282780723493</v>
      </c>
    </row>
    <row r="100" spans="1:13">
      <c r="A100" s="52" t="s">
        <v>196</v>
      </c>
      <c r="B100" s="23">
        <f>B98+B99</f>
        <v>21557</v>
      </c>
      <c r="C100" s="23">
        <f t="shared" ref="C100:M100" si="51">C98+C99</f>
        <v>18674</v>
      </c>
      <c r="D100" s="23">
        <f t="shared" si="51"/>
        <v>22238.165690378235</v>
      </c>
      <c r="E100" s="23">
        <f t="shared" si="51"/>
        <v>21580.77568382414</v>
      </c>
      <c r="F100" s="23">
        <f t="shared" si="51"/>
        <v>23700.736353849195</v>
      </c>
      <c r="G100" s="23">
        <f t="shared" si="51"/>
        <v>27370.513582936986</v>
      </c>
      <c r="H100" s="23">
        <f t="shared" si="51"/>
        <v>26243.818872118725</v>
      </c>
      <c r="I100" s="23">
        <f t="shared" si="51"/>
        <v>27611.501055724671</v>
      </c>
      <c r="J100" s="23">
        <f t="shared" si="51"/>
        <v>33052.693800073634</v>
      </c>
      <c r="K100" s="23">
        <f t="shared" si="51"/>
        <v>31808.052179438953</v>
      </c>
      <c r="L100" s="23">
        <f t="shared" si="51"/>
        <v>33453.946028410901</v>
      </c>
      <c r="M100" s="23">
        <f t="shared" si="51"/>
        <v>38437.560794410259</v>
      </c>
    </row>
    <row r="101" spans="1:13">
      <c r="A101" s="52" t="s">
        <v>197</v>
      </c>
      <c r="B101" s="23">
        <f t="shared" ref="B101:M101" si="52">MAX(B56*B18,0)</f>
        <v>0</v>
      </c>
      <c r="C101" s="23">
        <f t="shared" si="52"/>
        <v>0</v>
      </c>
      <c r="D101" s="23">
        <f t="shared" si="52"/>
        <v>0</v>
      </c>
      <c r="E101" s="23">
        <f t="shared" si="52"/>
        <v>0</v>
      </c>
      <c r="F101" s="23">
        <f t="shared" si="52"/>
        <v>0</v>
      </c>
      <c r="G101" s="23">
        <f t="shared" si="52"/>
        <v>0</v>
      </c>
      <c r="H101" s="23">
        <f t="shared" si="52"/>
        <v>0</v>
      </c>
      <c r="I101" s="23">
        <f t="shared" si="52"/>
        <v>0</v>
      </c>
      <c r="J101" s="23">
        <f t="shared" si="52"/>
        <v>0</v>
      </c>
      <c r="K101" s="23">
        <f t="shared" si="52"/>
        <v>0</v>
      </c>
      <c r="L101" s="23">
        <f t="shared" si="52"/>
        <v>0</v>
      </c>
      <c r="M101" s="23">
        <f t="shared" si="52"/>
        <v>0</v>
      </c>
    </row>
    <row r="102" spans="1:13">
      <c r="A102" s="52" t="s">
        <v>198</v>
      </c>
      <c r="B102" s="23">
        <f>B100-B101</f>
        <v>21557</v>
      </c>
      <c r="C102" s="23">
        <f t="shared" ref="C102:M102" si="53">C100-C101</f>
        <v>18674</v>
      </c>
      <c r="D102" s="23">
        <f t="shared" si="53"/>
        <v>22238.165690378235</v>
      </c>
      <c r="E102" s="23">
        <f t="shared" si="53"/>
        <v>21580.77568382414</v>
      </c>
      <c r="F102" s="23">
        <f t="shared" si="53"/>
        <v>23700.736353849195</v>
      </c>
      <c r="G102" s="23">
        <f t="shared" si="53"/>
        <v>27370.513582936986</v>
      </c>
      <c r="H102" s="23">
        <f t="shared" si="53"/>
        <v>26243.818872118725</v>
      </c>
      <c r="I102" s="23">
        <f t="shared" si="53"/>
        <v>27611.501055724671</v>
      </c>
      <c r="J102" s="23">
        <f t="shared" si="53"/>
        <v>33052.693800073634</v>
      </c>
      <c r="K102" s="23">
        <f t="shared" si="53"/>
        <v>31808.052179438953</v>
      </c>
      <c r="L102" s="23">
        <f t="shared" si="53"/>
        <v>33453.946028410901</v>
      </c>
      <c r="M102" s="23">
        <f t="shared" si="53"/>
        <v>38437.560794410259</v>
      </c>
    </row>
    <row r="103" spans="1:13">
      <c r="A103" s="52" t="s">
        <v>199</v>
      </c>
      <c r="B103" s="23">
        <f>BS!J35-BS!I35</f>
        <v>2733</v>
      </c>
      <c r="C103" s="23">
        <f t="shared" ref="C103:M103" si="54">C78-B78</f>
        <v>10576.000000000007</v>
      </c>
      <c r="D103" s="23">
        <f t="shared" si="54"/>
        <v>3855.4340499999889</v>
      </c>
      <c r="E103" s="23">
        <f t="shared" si="54"/>
        <v>3877.7332132500014</v>
      </c>
      <c r="F103" s="23">
        <f t="shared" si="54"/>
        <v>2046.0477593249962</v>
      </c>
      <c r="G103" s="23">
        <f t="shared" si="54"/>
        <v>3279.0607511287526</v>
      </c>
      <c r="H103" s="23">
        <f t="shared" si="54"/>
        <v>3443.013788685188</v>
      </c>
      <c r="I103" s="23">
        <f t="shared" si="54"/>
        <v>2306.2256153520575</v>
      </c>
      <c r="J103" s="23">
        <f t="shared" si="54"/>
        <v>3730.4757588870561</v>
      </c>
      <c r="K103" s="23">
        <f t="shared" si="54"/>
        <v>3916.9995468314009</v>
      </c>
      <c r="L103" s="23">
        <f t="shared" si="54"/>
        <v>4112.8495241729834</v>
      </c>
      <c r="M103" s="23">
        <f t="shared" si="54"/>
        <v>4318.4920003816223</v>
      </c>
    </row>
    <row r="104" spans="1:13">
      <c r="A104" s="62" t="s">
        <v>200</v>
      </c>
      <c r="B104" s="23">
        <f>B102+B103</f>
        <v>24290</v>
      </c>
      <c r="C104" s="23">
        <f t="shared" ref="C104:M104" si="55">C102+C103</f>
        <v>29250.000000000007</v>
      </c>
      <c r="D104" s="23">
        <f t="shared" si="55"/>
        <v>26093.599740378224</v>
      </c>
      <c r="E104" s="23">
        <f t="shared" si="55"/>
        <v>25458.508897074142</v>
      </c>
      <c r="F104" s="23">
        <f t="shared" si="55"/>
        <v>25746.784113174192</v>
      </c>
      <c r="G104" s="23">
        <f t="shared" si="55"/>
        <v>30649.574334065739</v>
      </c>
      <c r="H104" s="23">
        <f t="shared" si="55"/>
        <v>29686.832660803913</v>
      </c>
      <c r="I104" s="23">
        <f t="shared" si="55"/>
        <v>29917.726671076729</v>
      </c>
      <c r="J104" s="23">
        <f t="shared" si="55"/>
        <v>36783.16955896069</v>
      </c>
      <c r="K104" s="23">
        <f t="shared" si="55"/>
        <v>35725.051726270351</v>
      </c>
      <c r="L104" s="23">
        <f t="shared" si="55"/>
        <v>37566.795552583884</v>
      </c>
      <c r="M104" s="23">
        <f t="shared" si="55"/>
        <v>42756.052794791882</v>
      </c>
    </row>
    <row r="105" spans="1:13">
      <c r="A105" s="52" t="s">
        <v>201</v>
      </c>
      <c r="B105" s="23">
        <f>B96-B104</f>
        <v>-19417</v>
      </c>
      <c r="C105" s="23">
        <f t="shared" ref="C105:M105" si="56">C96-C104</f>
        <v>-24539.000000000007</v>
      </c>
      <c r="D105" s="23">
        <f t="shared" si="56"/>
        <v>-19372.118111793887</v>
      </c>
      <c r="E105" s="23">
        <f t="shared" si="56"/>
        <v>-18848.987698547367</v>
      </c>
      <c r="F105" s="23">
        <f t="shared" si="56"/>
        <v>-20605.591534065723</v>
      </c>
      <c r="G105" s="23">
        <f t="shared" si="56"/>
        <v>-22822.072954606501</v>
      </c>
      <c r="H105" s="23">
        <f t="shared" si="56"/>
        <v>-24018.667842336828</v>
      </c>
      <c r="I105" s="23">
        <f t="shared" si="56"/>
        <v>-23966.153611686277</v>
      </c>
      <c r="J105" s="23">
        <f t="shared" si="56"/>
        <v>-27721.858274564212</v>
      </c>
      <c r="K105" s="23">
        <f t="shared" si="56"/>
        <v>-29163.442428292379</v>
      </c>
      <c r="L105" s="23">
        <f t="shared" si="56"/>
        <v>-30677.10578970702</v>
      </c>
      <c r="M105" s="23">
        <f t="shared" si="56"/>
        <v>-32266.452319192373</v>
      </c>
    </row>
    <row r="106" spans="1:13">
      <c r="A106" s="52" t="s">
        <v>202</v>
      </c>
      <c r="B106" s="23">
        <f t="shared" ref="B106:M106" si="57">MAX(B105*B17,0)</f>
        <v>0</v>
      </c>
      <c r="C106" s="23">
        <f t="shared" si="57"/>
        <v>0</v>
      </c>
      <c r="D106" s="23">
        <f t="shared" si="57"/>
        <v>0</v>
      </c>
      <c r="E106" s="23">
        <f t="shared" si="57"/>
        <v>0</v>
      </c>
      <c r="F106" s="23">
        <f t="shared" si="57"/>
        <v>0</v>
      </c>
      <c r="G106" s="23">
        <f t="shared" si="57"/>
        <v>0</v>
      </c>
      <c r="H106" s="23">
        <f t="shared" si="57"/>
        <v>0</v>
      </c>
      <c r="I106" s="23">
        <f t="shared" si="57"/>
        <v>0</v>
      </c>
      <c r="J106" s="23">
        <f t="shared" si="57"/>
        <v>0</v>
      </c>
      <c r="K106" s="23">
        <f t="shared" si="57"/>
        <v>0</v>
      </c>
      <c r="L106" s="23">
        <f t="shared" si="57"/>
        <v>0</v>
      </c>
      <c r="M106" s="23">
        <f t="shared" si="57"/>
        <v>0</v>
      </c>
    </row>
    <row r="107" spans="1:13">
      <c r="A107" s="52" t="s">
        <v>203</v>
      </c>
      <c r="B107" s="23">
        <f>MAX(B105-B106,0)</f>
        <v>0</v>
      </c>
      <c r="C107" s="23">
        <f t="shared" ref="C107:M107" si="58">MAX(C105-C106,0)</f>
        <v>0</v>
      </c>
      <c r="D107" s="23">
        <f t="shared" si="58"/>
        <v>0</v>
      </c>
      <c r="E107" s="23">
        <f t="shared" si="58"/>
        <v>0</v>
      </c>
      <c r="F107" s="23">
        <f t="shared" si="58"/>
        <v>0</v>
      </c>
      <c r="G107" s="23">
        <f t="shared" si="58"/>
        <v>0</v>
      </c>
      <c r="H107" s="23">
        <f t="shared" si="58"/>
        <v>0</v>
      </c>
      <c r="I107" s="23">
        <f t="shared" si="58"/>
        <v>0</v>
      </c>
      <c r="J107" s="23">
        <f t="shared" si="58"/>
        <v>0</v>
      </c>
      <c r="K107" s="23">
        <f t="shared" si="58"/>
        <v>0</v>
      </c>
      <c r="L107" s="23">
        <f t="shared" si="58"/>
        <v>0</v>
      </c>
      <c r="M107" s="23">
        <f t="shared" si="58"/>
        <v>0</v>
      </c>
    </row>
    <row r="108" spans="1:13">
      <c r="A108" s="62" t="s">
        <v>204</v>
      </c>
      <c r="B108" s="23">
        <f>B106+B107</f>
        <v>0</v>
      </c>
      <c r="C108" s="23">
        <f t="shared" ref="C108:M108" si="59">C106+C107</f>
        <v>0</v>
      </c>
      <c r="D108" s="23">
        <f t="shared" si="59"/>
        <v>0</v>
      </c>
      <c r="E108" s="23">
        <f t="shared" si="59"/>
        <v>0</v>
      </c>
      <c r="F108" s="23">
        <f t="shared" si="59"/>
        <v>0</v>
      </c>
      <c r="G108" s="23">
        <f t="shared" si="59"/>
        <v>0</v>
      </c>
      <c r="H108" s="23">
        <f t="shared" si="59"/>
        <v>0</v>
      </c>
      <c r="I108" s="23">
        <f t="shared" si="59"/>
        <v>0</v>
      </c>
      <c r="J108" s="23">
        <f t="shared" si="59"/>
        <v>0</v>
      </c>
      <c r="K108" s="23">
        <f t="shared" si="59"/>
        <v>0</v>
      </c>
      <c r="L108" s="23">
        <f t="shared" si="59"/>
        <v>0</v>
      </c>
      <c r="M108" s="23">
        <f t="shared" si="59"/>
        <v>0</v>
      </c>
    </row>
    <row r="109" spans="1:13" ht="14">
      <c r="A109" s="63" t="s">
        <v>205</v>
      </c>
      <c r="B109">
        <f>B104+B108</f>
        <v>24290</v>
      </c>
      <c r="C109">
        <f t="shared" ref="C109:M109" si="60">C104+C108</f>
        <v>29250.000000000007</v>
      </c>
      <c r="D109">
        <f t="shared" si="60"/>
        <v>26093.599740378224</v>
      </c>
      <c r="E109">
        <f t="shared" si="60"/>
        <v>25458.508897074142</v>
      </c>
      <c r="F109">
        <f t="shared" si="60"/>
        <v>25746.784113174192</v>
      </c>
      <c r="G109">
        <f t="shared" si="60"/>
        <v>30649.574334065739</v>
      </c>
      <c r="H109">
        <f t="shared" si="60"/>
        <v>29686.832660803913</v>
      </c>
      <c r="I109">
        <f t="shared" si="60"/>
        <v>29917.726671076729</v>
      </c>
      <c r="J109">
        <f t="shared" si="60"/>
        <v>36783.16955896069</v>
      </c>
      <c r="K109">
        <f t="shared" si="60"/>
        <v>35725.051726270351</v>
      </c>
      <c r="L109">
        <f t="shared" si="60"/>
        <v>37566.795552583884</v>
      </c>
      <c r="M109">
        <f t="shared" si="60"/>
        <v>42756.052794791882</v>
      </c>
    </row>
    <row r="111" spans="1:13" s="8" customFormat="1" ht="18">
      <c r="A111" s="101" t="s">
        <v>282</v>
      </c>
      <c r="B111" s="101">
        <v>2021</v>
      </c>
      <c r="C111" s="101">
        <v>2022</v>
      </c>
      <c r="D111" s="101">
        <v>2023</v>
      </c>
      <c r="E111" s="101">
        <v>2024</v>
      </c>
      <c r="F111" s="101">
        <v>2025</v>
      </c>
      <c r="G111" s="101">
        <v>2026</v>
      </c>
      <c r="H111" s="101">
        <v>2027</v>
      </c>
      <c r="I111" s="101">
        <v>2028</v>
      </c>
      <c r="J111" s="101">
        <v>2029</v>
      </c>
      <c r="K111" s="101">
        <v>2030</v>
      </c>
      <c r="L111" s="101">
        <v>2031</v>
      </c>
      <c r="M111" s="101">
        <v>2032</v>
      </c>
    </row>
    <row r="112" spans="1:13" ht="18">
      <c r="A112" s="102" t="s">
        <v>206</v>
      </c>
      <c r="B112" s="103"/>
      <c r="C112" s="103">
        <v>0</v>
      </c>
      <c r="D112" s="103">
        <f>1+C112</f>
        <v>1</v>
      </c>
      <c r="E112" s="103">
        <f t="shared" ref="E112:M112" si="61">1+D112</f>
        <v>2</v>
      </c>
      <c r="F112" s="103">
        <f t="shared" si="61"/>
        <v>3</v>
      </c>
      <c r="G112" s="103">
        <f t="shared" si="61"/>
        <v>4</v>
      </c>
      <c r="H112" s="103">
        <f t="shared" si="61"/>
        <v>5</v>
      </c>
      <c r="I112" s="103">
        <f t="shared" si="61"/>
        <v>6</v>
      </c>
      <c r="J112" s="103">
        <f t="shared" si="61"/>
        <v>7</v>
      </c>
      <c r="K112" s="103">
        <f t="shared" si="61"/>
        <v>8</v>
      </c>
      <c r="L112" s="103">
        <f t="shared" si="61"/>
        <v>9</v>
      </c>
      <c r="M112" s="103">
        <f t="shared" si="61"/>
        <v>10</v>
      </c>
    </row>
    <row r="113" spans="1:15" ht="18">
      <c r="A113" s="102" t="s">
        <v>207</v>
      </c>
      <c r="B113" s="104">
        <f t="shared" ref="B113:M113" si="62">B50+B60-B55</f>
        <v>22176</v>
      </c>
      <c r="C113" s="104">
        <f t="shared" si="62"/>
        <v>20331</v>
      </c>
      <c r="D113" s="104">
        <f t="shared" si="62"/>
        <v>23516.765690378234</v>
      </c>
      <c r="E113" s="104">
        <f t="shared" si="62"/>
        <v>22859.375683824139</v>
      </c>
      <c r="F113" s="104">
        <f t="shared" si="62"/>
        <v>24979.336353849194</v>
      </c>
      <c r="G113" s="104">
        <f t="shared" si="62"/>
        <v>28649.113582936985</v>
      </c>
      <c r="H113" s="104">
        <f t="shared" si="62"/>
        <v>27522.418872118724</v>
      </c>
      <c r="I113" s="104">
        <f t="shared" si="62"/>
        <v>28890.10105572467</v>
      </c>
      <c r="J113" s="104">
        <f t="shared" si="62"/>
        <v>34331.293800073632</v>
      </c>
      <c r="K113" s="104">
        <f t="shared" si="62"/>
        <v>33086.652179438948</v>
      </c>
      <c r="L113" s="104">
        <f t="shared" si="62"/>
        <v>34732.546028410899</v>
      </c>
      <c r="M113" s="104">
        <f t="shared" si="62"/>
        <v>39716.160794410258</v>
      </c>
      <c r="N113" s="23"/>
    </row>
    <row r="114" spans="1:15" ht="18">
      <c r="A114" s="102" t="s">
        <v>208</v>
      </c>
      <c r="B114" s="104">
        <f>BS!J23-BS!I23</f>
        <v>875</v>
      </c>
      <c r="C114" s="104">
        <f>BS!K23-BS!J23</f>
        <v>1574</v>
      </c>
      <c r="D114" s="104">
        <f t="shared" ref="D114:M114" si="63">D70-C70</f>
        <v>3731.5560385694916</v>
      </c>
      <c r="E114" s="104">
        <f t="shared" si="63"/>
        <v>3443.9961425070142</v>
      </c>
      <c r="F114" s="104">
        <f t="shared" si="63"/>
        <v>2821.427609053826</v>
      </c>
      <c r="G114" s="104">
        <f t="shared" si="63"/>
        <v>2962.4989895065228</v>
      </c>
      <c r="H114" s="104">
        <f t="shared" si="63"/>
        <v>3110.6239389818438</v>
      </c>
      <c r="I114" s="104">
        <f t="shared" si="63"/>
        <v>3266.1551359309378</v>
      </c>
      <c r="J114" s="104">
        <f t="shared" si="63"/>
        <v>3429.4628927274753</v>
      </c>
      <c r="K114" s="104">
        <f t="shared" si="63"/>
        <v>3600.9360373638629</v>
      </c>
      <c r="L114" s="104">
        <f t="shared" si="63"/>
        <v>3780.9828392320487</v>
      </c>
      <c r="M114" s="104">
        <f t="shared" si="63"/>
        <v>3970.0319811936643</v>
      </c>
      <c r="N114" s="23"/>
    </row>
    <row r="115" spans="1:15" ht="18">
      <c r="A115" s="102" t="s">
        <v>209</v>
      </c>
      <c r="B115" s="104">
        <f>(BS!J22-BS!J35)-(BS!I22-BS!I35)</f>
        <v>7009</v>
      </c>
      <c r="C115" s="104">
        <f>(BS!K22-BS!K35)-(BS!J22-BS!J35)</f>
        <v>-16261</v>
      </c>
      <c r="D115" s="104">
        <f t="shared" ref="D115:M115" si="64">(D69-D78)-(C69-C78)</f>
        <v>5450.4700090379047</v>
      </c>
      <c r="E115" s="104">
        <f t="shared" si="64"/>
        <v>2999.8704142207062</v>
      </c>
      <c r="F115" s="104">
        <f t="shared" si="64"/>
        <v>2658.5382288379333</v>
      </c>
      <c r="G115" s="104">
        <f t="shared" si="64"/>
        <v>530.0439326048363</v>
      </c>
      <c r="H115" s="104">
        <f t="shared" si="64"/>
        <v>556.54612923508103</v>
      </c>
      <c r="I115" s="104">
        <f t="shared" si="64"/>
        <v>1893.3122984642105</v>
      </c>
      <c r="J115" s="104">
        <f t="shared" si="64"/>
        <v>679.03905062003469</v>
      </c>
      <c r="K115" s="104">
        <f t="shared" si="64"/>
        <v>712.9910031510226</v>
      </c>
      <c r="L115" s="104">
        <f t="shared" si="64"/>
        <v>748.64055330859264</v>
      </c>
      <c r="M115" s="104">
        <f t="shared" si="64"/>
        <v>786.07258097402519</v>
      </c>
      <c r="N115" s="23"/>
    </row>
    <row r="116" spans="1:15" ht="18">
      <c r="A116" s="103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23"/>
    </row>
    <row r="117" spans="1:15" ht="18">
      <c r="A117" s="102" t="s">
        <v>281</v>
      </c>
      <c r="B117" s="104">
        <f>B113-B114-B115</f>
        <v>14292</v>
      </c>
      <c r="C117" s="104">
        <f>C113-C114-C115</f>
        <v>35018</v>
      </c>
      <c r="D117" s="104">
        <f>D113-D114-D115</f>
        <v>14334.739642770837</v>
      </c>
      <c r="E117" s="104">
        <f t="shared" ref="E117:M117" si="65">E113-E114-E115</f>
        <v>16415.509127096419</v>
      </c>
      <c r="F117" s="104">
        <f t="shared" si="65"/>
        <v>19499.370515957435</v>
      </c>
      <c r="G117" s="104">
        <f t="shared" si="65"/>
        <v>25156.570660825626</v>
      </c>
      <c r="H117" s="104">
        <f t="shared" si="65"/>
        <v>23855.248803901799</v>
      </c>
      <c r="I117" s="104">
        <f t="shared" si="65"/>
        <v>23730.633621329522</v>
      </c>
      <c r="J117" s="104">
        <f t="shared" si="65"/>
        <v>30222.791856726122</v>
      </c>
      <c r="K117" s="104">
        <f t="shared" si="65"/>
        <v>28772.725138924063</v>
      </c>
      <c r="L117" s="104">
        <f t="shared" si="65"/>
        <v>30202.922635870258</v>
      </c>
      <c r="M117" s="104">
        <f t="shared" si="65"/>
        <v>34960.056232242569</v>
      </c>
      <c r="N117" s="23"/>
    </row>
    <row r="118" spans="1:15" ht="18">
      <c r="A118" s="103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 t="s">
        <v>278</v>
      </c>
      <c r="M118" s="104">
        <f>M117*(1+D11)/(D12-D11)</f>
        <v>1169415.6709484702</v>
      </c>
      <c r="N118" s="23"/>
    </row>
    <row r="119" spans="1:15" ht="18">
      <c r="A119" s="103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>
        <f>M117+M118</f>
        <v>1204375.7271807129</v>
      </c>
      <c r="N119" s="23"/>
    </row>
    <row r="120" spans="1:15" ht="18">
      <c r="A120" s="103" t="s">
        <v>279</v>
      </c>
      <c r="B120" s="104"/>
      <c r="C120" s="104">
        <f>C117/(1+C10)^C112</f>
        <v>35018</v>
      </c>
      <c r="D120" s="104">
        <f>D117/(1+D10)^D112</f>
        <v>13377.761201955169</v>
      </c>
      <c r="E120" s="104">
        <f t="shared" ref="E120:L120" si="66">E117/(1+E10)^E112</f>
        <v>14271.095662500673</v>
      </c>
      <c r="F120" s="104">
        <f t="shared" si="66"/>
        <v>15871.063056638161</v>
      </c>
      <c r="G120" s="104">
        <f t="shared" si="66"/>
        <v>19082.711990604614</v>
      </c>
      <c r="H120" s="104">
        <f t="shared" si="66"/>
        <v>16926.207465504598</v>
      </c>
      <c r="I120" s="104">
        <f t="shared" si="66"/>
        <v>15764.078596659849</v>
      </c>
      <c r="J120" s="104">
        <f t="shared" si="66"/>
        <v>18813.697349801882</v>
      </c>
      <c r="K120" s="104">
        <f t="shared" si="66"/>
        <v>16677.33579527893</v>
      </c>
      <c r="L120" s="104">
        <f t="shared" si="66"/>
        <v>16419.929140565633</v>
      </c>
      <c r="M120" s="104">
        <f>M119/(1+M10)^M112</f>
        <v>611893.26104254788</v>
      </c>
      <c r="N120" s="23"/>
    </row>
    <row r="121" spans="1:15" ht="18">
      <c r="A121" s="106" t="s">
        <v>221</v>
      </c>
      <c r="B121" s="107">
        <f>SUM(C120:M120)</f>
        <v>794115.14130205731</v>
      </c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23"/>
    </row>
    <row r="122" spans="1:15" ht="18">
      <c r="A122" s="102" t="s">
        <v>222</v>
      </c>
      <c r="B122" s="104">
        <f>B121/D32</f>
        <v>330881.30887585721</v>
      </c>
      <c r="C122" s="104"/>
      <c r="D122" s="104"/>
      <c r="E122" s="104"/>
      <c r="F122" s="104"/>
      <c r="G122" s="104"/>
      <c r="H122" s="108"/>
      <c r="I122" s="104"/>
      <c r="J122" s="104"/>
      <c r="K122" s="104"/>
      <c r="L122" s="104"/>
      <c r="M122" s="104"/>
      <c r="N122" s="23"/>
    </row>
    <row r="123" spans="1:15" ht="18">
      <c r="A123" s="109" t="s">
        <v>223</v>
      </c>
      <c r="B123" s="107">
        <f>D80-D77-D65</f>
        <v>82038.516680012704</v>
      </c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23"/>
      <c r="O123" s="92">
        <v>89720.48</v>
      </c>
    </row>
    <row r="124" spans="1:15" ht="18">
      <c r="A124" s="103" t="s">
        <v>224</v>
      </c>
      <c r="B124" s="104">
        <f>B121-B123</f>
        <v>712076.62462204462</v>
      </c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23"/>
    </row>
    <row r="125" spans="1:15" ht="18">
      <c r="A125" s="109" t="s">
        <v>280</v>
      </c>
      <c r="B125" s="107">
        <f>B124/(D32*1000)</f>
        <v>296.69859359251859</v>
      </c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23"/>
    </row>
    <row r="126" spans="1:15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23"/>
    </row>
    <row r="127" spans="1:15">
      <c r="A127" s="34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23"/>
    </row>
    <row r="128" spans="1:15">
      <c r="A128" t="s">
        <v>225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1:14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1:14">
      <c r="A130" t="s">
        <v>210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 spans="1:14">
      <c r="A131" t="s">
        <v>211</v>
      </c>
      <c r="B131" s="23">
        <f>B79</f>
        <v>62769</v>
      </c>
      <c r="C131" s="23">
        <f>C79</f>
        <v>54772</v>
      </c>
      <c r="D131" s="23">
        <f t="shared" ref="D131:M131" si="67">C131+D106</f>
        <v>54772</v>
      </c>
      <c r="E131" s="23">
        <f t="shared" si="67"/>
        <v>54772</v>
      </c>
      <c r="F131" s="23">
        <f t="shared" si="67"/>
        <v>54772</v>
      </c>
      <c r="G131" s="23">
        <f t="shared" si="67"/>
        <v>54772</v>
      </c>
      <c r="H131" s="23">
        <f t="shared" si="67"/>
        <v>54772</v>
      </c>
      <c r="I131" s="23">
        <f t="shared" si="67"/>
        <v>54772</v>
      </c>
      <c r="J131" s="23">
        <f t="shared" si="67"/>
        <v>54772</v>
      </c>
      <c r="K131" s="23">
        <f t="shared" si="67"/>
        <v>54772</v>
      </c>
      <c r="L131" s="23">
        <f t="shared" si="67"/>
        <v>54772</v>
      </c>
      <c r="M131" s="23">
        <f t="shared" si="67"/>
        <v>54772</v>
      </c>
      <c r="N131" s="23"/>
    </row>
    <row r="132" spans="1:14">
      <c r="A132" t="s">
        <v>212</v>
      </c>
      <c r="B132" s="23">
        <f>B80</f>
        <v>107995</v>
      </c>
      <c r="C132" s="23">
        <f t="shared" ref="C132:M132" si="68">C80</f>
        <v>110574</v>
      </c>
      <c r="D132" s="23">
        <f t="shared" si="68"/>
        <v>114429.43405</v>
      </c>
      <c r="E132" s="23">
        <f t="shared" si="68"/>
        <v>118307.16726325</v>
      </c>
      <c r="F132" s="23">
        <f t="shared" si="68"/>
        <v>120353.21502257499</v>
      </c>
      <c r="G132" s="23">
        <f t="shared" si="68"/>
        <v>123632.27577370375</v>
      </c>
      <c r="H132" s="23">
        <f t="shared" si="68"/>
        <v>127075.28956238893</v>
      </c>
      <c r="I132" s="23">
        <f t="shared" si="68"/>
        <v>129381.51517774099</v>
      </c>
      <c r="J132" s="23">
        <f t="shared" si="68"/>
        <v>133111.99093662805</v>
      </c>
      <c r="K132" s="23">
        <f t="shared" si="68"/>
        <v>137028.99048345943</v>
      </c>
      <c r="L132" s="23">
        <f t="shared" si="68"/>
        <v>141141.84000763245</v>
      </c>
      <c r="M132" s="23">
        <f t="shared" si="68"/>
        <v>145460.33200801405</v>
      </c>
      <c r="N132" s="23"/>
    </row>
    <row r="134" spans="1:14" s="91" customFormat="1"/>
    <row r="143" spans="1:14">
      <c r="E143" s="8"/>
    </row>
  </sheetData>
  <phoneticPr fontId="4" type="noConversion"/>
  <pageMargins left="0.7" right="0.7" top="0.75" bottom="0.75" header="0.3" footer="0.3"/>
  <pageSetup paperSize="9" orientation="portrait" horizontalDpi="300" verticalDpi="300" r:id="rId1"/>
  <ignoredErrors>
    <ignoredError sqref="Z5" calculatedColumn="1"/>
  </ignoredError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5516-A352-4F46-A41E-3251AE8B3A67}">
  <dimension ref="A1:I26"/>
  <sheetViews>
    <sheetView zoomScale="130" zoomScaleNormal="130" workbookViewId="0">
      <selection activeCell="E26" sqref="E26"/>
    </sheetView>
  </sheetViews>
  <sheetFormatPr baseColWidth="10" defaultColWidth="8.83203125" defaultRowHeight="13"/>
  <cols>
    <col min="1" max="1" width="8.83203125" style="110"/>
    <col min="2" max="2" width="25.5" style="110" customWidth="1"/>
    <col min="3" max="7" width="14.83203125" style="110" customWidth="1"/>
    <col min="8" max="8" width="8.83203125" style="110"/>
    <col min="9" max="9" width="16" style="110" customWidth="1"/>
    <col min="10" max="16384" width="8.83203125" style="110"/>
  </cols>
  <sheetData>
    <row r="1" spans="1:9">
      <c r="B1" s="110" t="s">
        <v>330</v>
      </c>
    </row>
    <row r="3" spans="1:9" s="111" customFormat="1">
      <c r="B3" s="158" t="s">
        <v>329</v>
      </c>
      <c r="C3" s="143" t="s">
        <v>294</v>
      </c>
      <c r="D3" s="143" t="s">
        <v>325</v>
      </c>
      <c r="E3" s="143" t="s">
        <v>326</v>
      </c>
      <c r="F3" s="143" t="s">
        <v>327</v>
      </c>
      <c r="G3" s="143" t="s">
        <v>331</v>
      </c>
    </row>
    <row r="4" spans="1:9" s="111" customFormat="1">
      <c r="A4" s="144"/>
      <c r="B4" s="145" t="s">
        <v>13</v>
      </c>
      <c r="C4" s="146" t="s">
        <v>306</v>
      </c>
      <c r="D4" s="146" t="s">
        <v>306</v>
      </c>
      <c r="E4" s="146" t="s">
        <v>306</v>
      </c>
      <c r="F4" s="146" t="s">
        <v>306</v>
      </c>
      <c r="G4" s="146"/>
      <c r="H4" s="144"/>
    </row>
    <row r="5" spans="1:9" s="112" customFormat="1">
      <c r="A5" s="147"/>
      <c r="B5" s="148" t="s">
        <v>226</v>
      </c>
      <c r="C5" s="149">
        <f>C6*176.65</f>
        <v>423960000</v>
      </c>
      <c r="D5" s="149">
        <f>D6*51.24</f>
        <v>287763840</v>
      </c>
      <c r="E5" s="149">
        <f>E6*110.95</f>
        <v>281572669.42980003</v>
      </c>
      <c r="F5" s="149">
        <f>F6*365.84</f>
        <v>347614582.88</v>
      </c>
      <c r="G5" s="148"/>
      <c r="H5" s="147"/>
    </row>
    <row r="6" spans="1:9">
      <c r="A6" s="150"/>
      <c r="B6" s="148" t="s">
        <v>283</v>
      </c>
      <c r="C6" s="151">
        <f>2400000</f>
        <v>2400000</v>
      </c>
      <c r="D6" s="151">
        <f>'Company_Income statement'!K186</f>
        <v>5616000</v>
      </c>
      <c r="E6" s="151">
        <f>'Company_Income statement'!K240</f>
        <v>2537833.8840000001</v>
      </c>
      <c r="F6" s="152">
        <f>'Company_Income statement'!K292</f>
        <v>950182</v>
      </c>
      <c r="G6" s="148"/>
      <c r="H6" s="150"/>
    </row>
    <row r="7" spans="1:9" s="112" customFormat="1">
      <c r="A7" s="147"/>
      <c r="B7" s="148" t="s">
        <v>284</v>
      </c>
      <c r="C7" s="151">
        <v>17941000</v>
      </c>
      <c r="D7" s="152">
        <f>'Company_Income statement'!J176</f>
        <v>21980000</v>
      </c>
      <c r="E7" s="152">
        <f>'Company_Income statement'!J230</f>
        <v>13049000</v>
      </c>
      <c r="F7" s="152">
        <f>'Company_Income statement'!J282</f>
        <v>5581700</v>
      </c>
      <c r="G7" s="148"/>
      <c r="H7" s="147"/>
    </row>
    <row r="8" spans="1:9">
      <c r="A8" s="150"/>
      <c r="B8" s="148" t="s">
        <v>285</v>
      </c>
      <c r="C8" s="149">
        <v>19682226.789999999</v>
      </c>
      <c r="D8" s="149">
        <f>'Company_Income statement'!K176</f>
        <v>31372000</v>
      </c>
      <c r="E8" s="149">
        <f>'Company_Income statement'!K230</f>
        <v>14519000</v>
      </c>
      <c r="F8" s="149">
        <f>'Company_Income statement'!K282</f>
        <v>6244800</v>
      </c>
      <c r="G8" s="148"/>
      <c r="H8" s="150"/>
    </row>
    <row r="9" spans="1:9">
      <c r="A9" s="150"/>
      <c r="B9" s="148" t="s">
        <v>286</v>
      </c>
      <c r="C9" s="149">
        <f>26509915.39</f>
        <v>26509915.390000001</v>
      </c>
      <c r="D9" s="149">
        <f>40.008*1000000</f>
        <v>40008000</v>
      </c>
      <c r="E9" s="149">
        <f>22.191*1000000</f>
        <v>22191000</v>
      </c>
      <c r="F9" s="149">
        <f>8.65*1000000</f>
        <v>8650000</v>
      </c>
      <c r="G9" s="148"/>
      <c r="H9" s="150"/>
    </row>
    <row r="10" spans="1:9">
      <c r="A10" s="150"/>
      <c r="B10" s="148" t="s">
        <v>287</v>
      </c>
      <c r="C10" s="149">
        <v>101114295</v>
      </c>
      <c r="D10" s="149">
        <f>'Company_Income statement'!K156</f>
        <v>100330000</v>
      </c>
      <c r="E10" s="149">
        <f>'Company_Income statement'!K210</f>
        <v>59283000</v>
      </c>
      <c r="F10" s="149">
        <f>'Company_Income statement'!K264</f>
        <v>28541400</v>
      </c>
      <c r="G10" s="148"/>
      <c r="H10" s="150"/>
    </row>
    <row r="11" spans="1:9">
      <c r="A11" s="150"/>
      <c r="B11" s="148" t="s">
        <v>288</v>
      </c>
      <c r="C11" s="149">
        <v>88441669.349999994</v>
      </c>
      <c r="D11" s="149">
        <f>97204*1000</f>
        <v>97204000</v>
      </c>
      <c r="E11" s="149">
        <f>41.3*1000000</f>
        <v>41300000</v>
      </c>
      <c r="F11" s="149">
        <f>11.307*1000000</f>
        <v>11307000</v>
      </c>
      <c r="G11" s="148"/>
      <c r="H11" s="150"/>
    </row>
    <row r="12" spans="1:9">
      <c r="A12" s="150"/>
      <c r="B12" s="148" t="s">
        <v>289</v>
      </c>
      <c r="C12" s="153">
        <f>C5/C8</f>
        <v>21.540245650222996</v>
      </c>
      <c r="D12" s="153">
        <f t="shared" ref="D12" si="0">D5/D8</f>
        <v>9.1726329210761186</v>
      </c>
      <c r="E12" s="153">
        <f>E5/E8</f>
        <v>19.393392756374407</v>
      </c>
      <c r="F12" s="153">
        <f>F5/F8</f>
        <v>55.664646246477069</v>
      </c>
      <c r="G12" s="153">
        <f>AVERAGE(D12:F12)</f>
        <v>28.076890641309195</v>
      </c>
      <c r="H12" s="154"/>
    </row>
    <row r="13" spans="1:9">
      <c r="A13" s="150"/>
      <c r="B13" s="148" t="s">
        <v>290</v>
      </c>
      <c r="C13" s="153">
        <f>C5/C9</f>
        <v>15.992506719200057</v>
      </c>
      <c r="D13" s="153">
        <f>D5/D9</f>
        <v>7.1926574685062992</v>
      </c>
      <c r="E13" s="153">
        <f>E5/E9</f>
        <v>12.688597603974586</v>
      </c>
      <c r="F13" s="153">
        <f>F5/F9</f>
        <v>40.186656980346818</v>
      </c>
      <c r="G13" s="153">
        <f t="shared" ref="G13:G15" si="1">AVERAGE(D13:F13)</f>
        <v>20.022637350942567</v>
      </c>
      <c r="H13" s="154"/>
    </row>
    <row r="14" spans="1:9">
      <c r="A14" s="150"/>
      <c r="B14" s="148" t="s">
        <v>291</v>
      </c>
      <c r="C14" s="153">
        <f>C5/C10</f>
        <v>4.1928789593993612</v>
      </c>
      <c r="D14" s="153">
        <f t="shared" ref="D14:F14" si="2">D5/D10</f>
        <v>2.8681734276886277</v>
      </c>
      <c r="E14" s="153">
        <f t="shared" si="2"/>
        <v>4.7496359737159057</v>
      </c>
      <c r="F14" s="153">
        <f t="shared" si="2"/>
        <v>12.179310856510192</v>
      </c>
      <c r="G14" s="153">
        <f t="shared" si="1"/>
        <v>6.5990400859715761</v>
      </c>
      <c r="H14" s="154"/>
      <c r="I14" s="113"/>
    </row>
    <row r="15" spans="1:9">
      <c r="A15" s="150"/>
      <c r="B15" s="148" t="s">
        <v>292</v>
      </c>
      <c r="C15" s="153">
        <f>C5/C11</f>
        <v>4.793667997403082</v>
      </c>
      <c r="D15" s="153">
        <f t="shared" ref="D15:F15" si="3">D5/D11</f>
        <v>2.9604115056993541</v>
      </c>
      <c r="E15" s="153">
        <f t="shared" si="3"/>
        <v>6.8177401798983057</v>
      </c>
      <c r="F15" s="153">
        <f t="shared" si="3"/>
        <v>30.743307940214027</v>
      </c>
      <c r="G15" s="153">
        <f t="shared" si="1"/>
        <v>13.507153208603896</v>
      </c>
      <c r="H15" s="154"/>
    </row>
    <row r="16" spans="1:9">
      <c r="A16" s="150"/>
      <c r="B16" s="148"/>
      <c r="C16" s="148"/>
      <c r="D16" s="148"/>
      <c r="E16" s="148"/>
      <c r="F16" s="148"/>
      <c r="G16" s="148"/>
      <c r="H16" s="150"/>
    </row>
    <row r="17" spans="1:8">
      <c r="A17" s="150"/>
      <c r="B17" s="155" t="s">
        <v>294</v>
      </c>
      <c r="C17" s="156" t="s">
        <v>293</v>
      </c>
      <c r="D17" s="156" t="s">
        <v>328</v>
      </c>
      <c r="E17" s="148"/>
      <c r="F17" s="148"/>
      <c r="G17" s="148"/>
      <c r="H17" s="150"/>
    </row>
    <row r="18" spans="1:8">
      <c r="A18" s="150"/>
      <c r="B18" s="148" t="s">
        <v>289</v>
      </c>
      <c r="C18" s="152">
        <f>G12*C8</f>
        <v>552615729.16027606</v>
      </c>
      <c r="D18" s="152">
        <f>'Relative Valuation'!C18/(DCF!$D$32*1000000)</f>
        <v>230.25655381678169</v>
      </c>
      <c r="E18" s="148"/>
      <c r="F18" s="148"/>
      <c r="G18" s="148"/>
      <c r="H18" s="150"/>
    </row>
    <row r="19" spans="1:8">
      <c r="A19" s="150"/>
      <c r="B19" s="148" t="s">
        <v>290</v>
      </c>
      <c r="C19" s="152">
        <f>G13*C9</f>
        <v>530798422.05814117</v>
      </c>
      <c r="D19" s="152">
        <f>'Relative Valuation'!C19/(DCF!$D$32*1000000)</f>
        <v>221.16600919089217</v>
      </c>
      <c r="E19" s="148"/>
      <c r="F19" s="148"/>
      <c r="G19" s="148"/>
      <c r="H19" s="150"/>
    </row>
    <row r="20" spans="1:8">
      <c r="A20" s="150"/>
      <c r="B20" s="148" t="s">
        <v>291</v>
      </c>
      <c r="C20" s="152">
        <f>G14*C10</f>
        <v>667257285.96975529</v>
      </c>
      <c r="D20" s="152">
        <f>'Relative Valuation'!C20/(DCF!$D$32*1000000)</f>
        <v>278.0238691540647</v>
      </c>
      <c r="E20" s="148"/>
      <c r="F20" s="148"/>
      <c r="G20" s="148"/>
      <c r="H20" s="150"/>
    </row>
    <row r="21" spans="1:8">
      <c r="A21" s="150"/>
      <c r="B21" s="148" t="s">
        <v>292</v>
      </c>
      <c r="C21" s="152">
        <f>G15*C11</f>
        <v>1194595177.9351373</v>
      </c>
      <c r="D21" s="152">
        <f>'Relative Valuation'!C21/(DCF!$D$32*1000000)</f>
        <v>497.7479908063072</v>
      </c>
      <c r="E21" s="148"/>
      <c r="F21" s="148"/>
      <c r="G21" s="148"/>
      <c r="H21" s="150"/>
    </row>
    <row r="22" spans="1:8">
      <c r="A22" s="150"/>
      <c r="B22" s="148"/>
      <c r="C22" s="156" t="s">
        <v>111</v>
      </c>
      <c r="D22" s="157">
        <f>AVERAGE(D18:D21)</f>
        <v>306.79860574201143</v>
      </c>
      <c r="E22" s="148"/>
      <c r="F22" s="148"/>
      <c r="G22" s="148"/>
      <c r="H22" s="150"/>
    </row>
    <row r="23" spans="1:8">
      <c r="A23" s="150"/>
      <c r="B23" s="150"/>
      <c r="C23" s="150"/>
      <c r="D23" s="150"/>
      <c r="E23" s="150"/>
      <c r="F23" s="150"/>
      <c r="G23" s="150"/>
      <c r="H23" s="150"/>
    </row>
    <row r="24" spans="1:8">
      <c r="A24" s="150"/>
      <c r="B24" s="150"/>
      <c r="C24" s="150"/>
      <c r="D24" s="150"/>
      <c r="E24" s="150"/>
      <c r="F24" s="150"/>
      <c r="G24" s="150"/>
      <c r="H24" s="150"/>
    </row>
    <row r="25" spans="1:8">
      <c r="A25" s="150"/>
      <c r="B25" s="150"/>
      <c r="C25" s="150"/>
      <c r="D25" s="150"/>
      <c r="E25" s="150"/>
      <c r="F25" s="150"/>
      <c r="G25" s="150"/>
      <c r="H25" s="150"/>
    </row>
    <row r="26" spans="1:8">
      <c r="A26" s="150"/>
      <c r="B26" s="150"/>
      <c r="C26" s="150"/>
      <c r="D26" s="150"/>
      <c r="E26" s="150"/>
      <c r="F26" s="150"/>
      <c r="G26" s="150"/>
      <c r="H26" s="150"/>
    </row>
  </sheetData>
  <pageMargins left="0.7" right="0.7" top="0.75" bottom="0.75" header="0.3" footer="0.3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F821-A2F5-F24D-9913-7C24C93084B9}">
  <dimension ref="A1:V14"/>
  <sheetViews>
    <sheetView workbookViewId="0">
      <selection activeCell="P44" sqref="P44"/>
    </sheetView>
  </sheetViews>
  <sheetFormatPr baseColWidth="10" defaultRowHeight="13"/>
  <cols>
    <col min="1" max="1" width="26.6640625" customWidth="1"/>
    <col min="2" max="2" width="11.1640625" customWidth="1"/>
  </cols>
  <sheetData>
    <row r="1" spans="1:22">
      <c r="A1" s="8"/>
      <c r="B1" s="8"/>
      <c r="C1" s="22">
        <v>2013</v>
      </c>
      <c r="D1" s="22">
        <f>1+C1</f>
        <v>2014</v>
      </c>
      <c r="E1" s="22">
        <f t="shared" ref="E1:K1" si="0">1+D1</f>
        <v>2015</v>
      </c>
      <c r="F1" s="22">
        <f t="shared" si="0"/>
        <v>2016</v>
      </c>
      <c r="G1" s="22">
        <f t="shared" si="0"/>
        <v>2017</v>
      </c>
      <c r="H1" s="22">
        <f t="shared" si="0"/>
        <v>2018</v>
      </c>
      <c r="I1" s="22">
        <f t="shared" si="0"/>
        <v>2019</v>
      </c>
      <c r="J1" s="22">
        <f t="shared" si="0"/>
        <v>2020</v>
      </c>
      <c r="K1" s="22">
        <f t="shared" si="0"/>
        <v>2021</v>
      </c>
      <c r="L1" s="22">
        <v>2022</v>
      </c>
      <c r="M1" s="22">
        <f>1+L1</f>
        <v>2023</v>
      </c>
      <c r="N1" s="22">
        <f t="shared" ref="N1:V1" si="1">1+M1</f>
        <v>2024</v>
      </c>
      <c r="O1" s="22">
        <f t="shared" si="1"/>
        <v>2025</v>
      </c>
      <c r="P1" s="22">
        <f t="shared" si="1"/>
        <v>2026</v>
      </c>
      <c r="Q1" s="22">
        <f t="shared" si="1"/>
        <v>2027</v>
      </c>
      <c r="R1" s="22">
        <f t="shared" si="1"/>
        <v>2028</v>
      </c>
      <c r="S1" s="22">
        <f t="shared" si="1"/>
        <v>2029</v>
      </c>
      <c r="T1" s="22">
        <f t="shared" si="1"/>
        <v>2030</v>
      </c>
      <c r="U1" s="22">
        <f>1+T1</f>
        <v>2031</v>
      </c>
      <c r="V1" s="22">
        <f t="shared" si="1"/>
        <v>2032</v>
      </c>
    </row>
    <row r="2" spans="1:22">
      <c r="A2" s="8" t="s">
        <v>273</v>
      </c>
      <c r="B2" s="8"/>
      <c r="C2" s="87">
        <v>14697</v>
      </c>
      <c r="D2" s="87">
        <v>14496</v>
      </c>
      <c r="E2" s="87">
        <v>13507</v>
      </c>
      <c r="F2" s="87">
        <v>13307</v>
      </c>
      <c r="G2" s="87">
        <v>13602</v>
      </c>
      <c r="H2" s="87">
        <v>13853</v>
      </c>
      <c r="I2" s="87">
        <v>13898</v>
      </c>
      <c r="J2" s="87">
        <v>14450</v>
      </c>
      <c r="K2" s="87">
        <v>15035</v>
      </c>
      <c r="L2" s="87">
        <v>14953</v>
      </c>
      <c r="M2" s="23">
        <f>L2*(1+0.24%)</f>
        <v>14988.887199999999</v>
      </c>
      <c r="N2" s="23">
        <f t="shared" ref="N2:V2" si="2">M2*(1+0.24%)</f>
        <v>15024.860529279998</v>
      </c>
      <c r="O2" s="23">
        <f t="shared" si="2"/>
        <v>15060.92019455027</v>
      </c>
      <c r="P2" s="23">
        <f t="shared" si="2"/>
        <v>15097.06640301719</v>
      </c>
      <c r="Q2" s="23">
        <f t="shared" si="2"/>
        <v>15133.29936238443</v>
      </c>
      <c r="R2" s="23">
        <f t="shared" si="2"/>
        <v>15169.619280854153</v>
      </c>
      <c r="S2" s="23">
        <f t="shared" si="2"/>
        <v>15206.026367128203</v>
      </c>
      <c r="T2" s="23">
        <f t="shared" si="2"/>
        <v>15242.52083040931</v>
      </c>
      <c r="U2" s="23">
        <f t="shared" si="2"/>
        <v>15279.102880402292</v>
      </c>
      <c r="V2" s="23">
        <f t="shared" si="2"/>
        <v>15315.772727315256</v>
      </c>
    </row>
    <row r="3" spans="1:22">
      <c r="A3" s="8" t="s">
        <v>274</v>
      </c>
      <c r="B3" s="8"/>
      <c r="C3" s="87">
        <v>28125</v>
      </c>
      <c r="D3" s="87">
        <v>32313</v>
      </c>
      <c r="E3" s="87">
        <v>31430</v>
      </c>
      <c r="F3" s="87">
        <v>33464</v>
      </c>
      <c r="G3" s="87">
        <v>36256</v>
      </c>
      <c r="H3" s="87">
        <v>40734</v>
      </c>
      <c r="I3" s="87">
        <v>42198</v>
      </c>
      <c r="J3" s="87">
        <v>45175</v>
      </c>
      <c r="K3" s="87">
        <v>51680</v>
      </c>
      <c r="L3" s="87">
        <v>52563</v>
      </c>
      <c r="M3" s="23">
        <f>L3*(1+7.34%)</f>
        <v>56421.124199999998</v>
      </c>
      <c r="N3" s="23">
        <f t="shared" ref="N3:V3" si="3">M3*(1+7.34%)</f>
        <v>60562.434716279997</v>
      </c>
      <c r="O3" s="23">
        <f t="shared" si="3"/>
        <v>65007.717424454946</v>
      </c>
      <c r="P3" s="23">
        <f t="shared" si="3"/>
        <v>69779.283883409938</v>
      </c>
      <c r="Q3" s="23">
        <f t="shared" si="3"/>
        <v>74901.083320452221</v>
      </c>
      <c r="R3" s="23">
        <f t="shared" si="3"/>
        <v>80398.822836173407</v>
      </c>
      <c r="S3" s="23">
        <f t="shared" si="3"/>
        <v>86300.096432348524</v>
      </c>
      <c r="T3" s="23">
        <f t="shared" si="3"/>
        <v>92634.523510482904</v>
      </c>
      <c r="U3" s="23">
        <f t="shared" si="3"/>
        <v>99433.897536152348</v>
      </c>
      <c r="V3" s="23">
        <f t="shared" si="3"/>
        <v>106732.34561530592</v>
      </c>
    </row>
    <row r="4" spans="1:22">
      <c r="A4" s="8" t="s">
        <v>275</v>
      </c>
      <c r="B4" s="8"/>
      <c r="C4" s="87">
        <v>28490</v>
      </c>
      <c r="D4" s="87">
        <v>27522</v>
      </c>
      <c r="E4" s="87">
        <v>25137</v>
      </c>
      <c r="F4" s="87">
        <v>25119</v>
      </c>
      <c r="G4" s="87">
        <v>26592</v>
      </c>
      <c r="H4" s="87">
        <v>26994</v>
      </c>
      <c r="I4" s="87">
        <v>25963</v>
      </c>
      <c r="J4" s="87">
        <v>22959</v>
      </c>
      <c r="K4" s="87">
        <v>27060</v>
      </c>
      <c r="L4" s="87">
        <v>27427</v>
      </c>
      <c r="M4" s="23">
        <f>L4*(1+0.1%)</f>
        <v>27454.426999999996</v>
      </c>
      <c r="N4" s="23">
        <f t="shared" ref="N4:V4" si="4">M4*(1+0.1%)</f>
        <v>27481.881426999993</v>
      </c>
      <c r="O4" s="23">
        <f t="shared" si="4"/>
        <v>27509.36330842699</v>
      </c>
      <c r="P4" s="23">
        <f t="shared" si="4"/>
        <v>27536.872671735415</v>
      </c>
      <c r="Q4" s="23">
        <f t="shared" si="4"/>
        <v>27564.409544407146</v>
      </c>
      <c r="R4" s="23">
        <f t="shared" si="4"/>
        <v>27591.97395395155</v>
      </c>
      <c r="S4" s="23">
        <f t="shared" si="4"/>
        <v>27619.5659279055</v>
      </c>
      <c r="T4" s="23">
        <f t="shared" si="4"/>
        <v>27647.185493833404</v>
      </c>
      <c r="U4" s="23">
        <f t="shared" si="4"/>
        <v>27674.832679327235</v>
      </c>
      <c r="V4" s="23">
        <f t="shared" si="4"/>
        <v>27702.507512006559</v>
      </c>
    </row>
    <row r="6" spans="1:22">
      <c r="A6" s="8"/>
      <c r="B6" s="8"/>
    </row>
    <row r="7" spans="1:22">
      <c r="B7" s="22">
        <v>2022</v>
      </c>
      <c r="C7" s="88">
        <v>2023</v>
      </c>
      <c r="D7" s="88">
        <f>1+C7</f>
        <v>2024</v>
      </c>
      <c r="E7" s="88">
        <f t="shared" ref="E7:L7" si="5">1+D7</f>
        <v>2025</v>
      </c>
      <c r="F7" s="88">
        <f t="shared" si="5"/>
        <v>2026</v>
      </c>
      <c r="G7" s="88">
        <f t="shared" si="5"/>
        <v>2027</v>
      </c>
      <c r="H7" s="88">
        <f t="shared" si="5"/>
        <v>2028</v>
      </c>
      <c r="I7" s="88">
        <f t="shared" si="5"/>
        <v>2029</v>
      </c>
      <c r="J7" s="88">
        <f t="shared" si="5"/>
        <v>2030</v>
      </c>
      <c r="K7" s="88">
        <f t="shared" si="5"/>
        <v>2031</v>
      </c>
      <c r="L7" s="88">
        <f t="shared" si="5"/>
        <v>2032</v>
      </c>
    </row>
    <row r="8" spans="1:22">
      <c r="A8" s="8" t="s">
        <v>276</v>
      </c>
      <c r="B8" s="89">
        <f>DCF!C7</f>
        <v>1.2455345241268996E-2</v>
      </c>
      <c r="C8" s="9">
        <f>DCF!D7</f>
        <v>6.5000000000000002E-2</v>
      </c>
      <c r="D8" s="9">
        <f>DCF!E7</f>
        <v>6.5000000000000002E-2</v>
      </c>
      <c r="E8" s="9">
        <f>DCF!F7</f>
        <v>0.05</v>
      </c>
      <c r="F8" s="9">
        <f>DCF!G7</f>
        <v>0.05</v>
      </c>
      <c r="G8" s="9">
        <f>DCF!H7</f>
        <v>0.05</v>
      </c>
      <c r="H8" s="9">
        <f>DCF!I7</f>
        <v>0.05</v>
      </c>
      <c r="I8" s="9">
        <f>DCF!J7</f>
        <v>0.05</v>
      </c>
      <c r="J8" s="9">
        <f>DCF!K7</f>
        <v>0.05</v>
      </c>
      <c r="K8" s="9">
        <f>DCF!L7</f>
        <v>0.05</v>
      </c>
      <c r="L8" s="9">
        <f>DCF!M7</f>
        <v>0.05</v>
      </c>
    </row>
    <row r="9" spans="1:22">
      <c r="A9" s="8" t="s">
        <v>15</v>
      </c>
      <c r="B9" s="42">
        <f>DCF!C41</f>
        <v>94943</v>
      </c>
      <c r="C9" s="42">
        <f>DCF!D41</f>
        <v>101114.295</v>
      </c>
      <c r="D9" s="42">
        <f>DCF!E41</f>
        <v>107686.724175</v>
      </c>
      <c r="E9" s="42">
        <f>DCF!F41</f>
        <v>113071.06038374999</v>
      </c>
      <c r="F9" s="42">
        <f>DCF!G41</f>
        <v>118724.6134029375</v>
      </c>
      <c r="G9" s="42">
        <f>DCF!H41</f>
        <v>124660.84407308437</v>
      </c>
      <c r="H9" s="42">
        <f>DCF!I41</f>
        <v>130893.8862767386</v>
      </c>
      <c r="I9" s="42">
        <f>DCF!J41</f>
        <v>137438.58059057553</v>
      </c>
      <c r="J9" s="42">
        <f>DCF!K41</f>
        <v>144310.50962010431</v>
      </c>
      <c r="K9" s="42">
        <f>DCF!L41</f>
        <v>151526.03510110953</v>
      </c>
      <c r="L9" s="42">
        <f>DCF!M41</f>
        <v>159102.33685616503</v>
      </c>
    </row>
    <row r="11" spans="1:22">
      <c r="A11" s="90" t="s">
        <v>277</v>
      </c>
      <c r="B11" s="22"/>
      <c r="C11" s="22">
        <v>2014</v>
      </c>
      <c r="D11" s="22">
        <f t="shared" ref="D11:L11" si="6">1+C11</f>
        <v>2015</v>
      </c>
      <c r="E11" s="22">
        <f t="shared" si="6"/>
        <v>2016</v>
      </c>
      <c r="F11" s="22">
        <f t="shared" si="6"/>
        <v>2017</v>
      </c>
      <c r="G11" s="22">
        <f t="shared" si="6"/>
        <v>2018</v>
      </c>
      <c r="H11" s="22">
        <f t="shared" si="6"/>
        <v>2019</v>
      </c>
      <c r="I11" s="22">
        <f t="shared" si="6"/>
        <v>2020</v>
      </c>
      <c r="J11" s="22">
        <f t="shared" si="6"/>
        <v>2021</v>
      </c>
      <c r="K11" s="22">
        <f t="shared" si="6"/>
        <v>2022</v>
      </c>
      <c r="L11" s="22">
        <f t="shared" si="6"/>
        <v>2023</v>
      </c>
    </row>
    <row r="12" spans="1:22">
      <c r="A12" s="8" t="s">
        <v>273</v>
      </c>
      <c r="B12" s="9">
        <f>AVERAGE(C12:K12)</f>
        <v>2.4344071329820273E-3</v>
      </c>
      <c r="C12" s="9">
        <f>(D2-C2)/C2</f>
        <v>-1.3676260461318637E-2</v>
      </c>
      <c r="D12" s="9">
        <f t="shared" ref="D12:J12" si="7">(E2-D2)/D2</f>
        <v>-6.8225717439293593E-2</v>
      </c>
      <c r="E12" s="9">
        <f t="shared" si="7"/>
        <v>-1.4807137040053306E-2</v>
      </c>
      <c r="F12" s="9">
        <f t="shared" si="7"/>
        <v>2.2168783347110543E-2</v>
      </c>
      <c r="G12" s="9">
        <f t="shared" si="7"/>
        <v>1.8453168651668871E-2</v>
      </c>
      <c r="H12" s="9">
        <f t="shared" si="7"/>
        <v>3.2483938497076446E-3</v>
      </c>
      <c r="I12" s="9">
        <f t="shared" si="7"/>
        <v>3.9717945028061592E-2</v>
      </c>
      <c r="J12" s="9">
        <f t="shared" si="7"/>
        <v>4.0484429065743947E-2</v>
      </c>
      <c r="K12" s="9">
        <f>(L2-K2)/K2</f>
        <v>-5.4539408047888259E-3</v>
      </c>
      <c r="L12" s="9"/>
    </row>
    <row r="13" spans="1:22">
      <c r="A13" s="8" t="s">
        <v>274</v>
      </c>
      <c r="B13" s="9">
        <f t="shared" ref="B13:B14" si="8">AVERAGE(C13:K13)</f>
        <v>7.3423258149187209E-2</v>
      </c>
      <c r="C13" s="9">
        <f t="shared" ref="C13:K14" si="9">(D3-C3)/C3</f>
        <v>0.14890666666666666</v>
      </c>
      <c r="D13" s="9">
        <f t="shared" si="9"/>
        <v>-2.7326463033454026E-2</v>
      </c>
      <c r="E13" s="9">
        <f t="shared" si="9"/>
        <v>6.4715240216353803E-2</v>
      </c>
      <c r="F13" s="9">
        <f t="shared" si="9"/>
        <v>8.3432942863973222E-2</v>
      </c>
      <c r="G13" s="9">
        <f t="shared" si="9"/>
        <v>0.12351059135039717</v>
      </c>
      <c r="H13" s="9">
        <f t="shared" si="9"/>
        <v>3.5940491972308149E-2</v>
      </c>
      <c r="I13" s="9">
        <f t="shared" si="9"/>
        <v>7.0548367221195313E-2</v>
      </c>
      <c r="J13" s="9">
        <f t="shared" si="9"/>
        <v>0.14399557277255118</v>
      </c>
      <c r="K13" s="9">
        <f t="shared" si="9"/>
        <v>1.7085913312693497E-2</v>
      </c>
    </row>
    <row r="14" spans="1:22">
      <c r="A14" s="8" t="s">
        <v>275</v>
      </c>
      <c r="B14" s="9">
        <f t="shared" si="8"/>
        <v>-1.0338034209754967E-3</v>
      </c>
      <c r="C14" s="9">
        <f t="shared" si="9"/>
        <v>-3.397683397683398E-2</v>
      </c>
      <c r="D14" s="9">
        <f t="shared" si="9"/>
        <v>-8.6657946370176583E-2</v>
      </c>
      <c r="E14" s="9">
        <f t="shared" si="9"/>
        <v>-7.1607590404582891E-4</v>
      </c>
      <c r="F14" s="9">
        <f t="shared" si="9"/>
        <v>5.8640869461363911E-2</v>
      </c>
      <c r="G14" s="9">
        <f t="shared" si="9"/>
        <v>1.5117328519855595E-2</v>
      </c>
      <c r="H14" s="9">
        <f t="shared" si="9"/>
        <v>-3.8193672668000299E-2</v>
      </c>
      <c r="I14" s="9">
        <f t="shared" si="9"/>
        <v>-0.11570311597273042</v>
      </c>
      <c r="J14" s="9">
        <f t="shared" si="9"/>
        <v>0.17862276231543187</v>
      </c>
      <c r="K14" s="9">
        <f t="shared" si="9"/>
        <v>1.3562453806356246E-2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0D6E-4F6E-3E48-AD35-3FD617E68305}">
  <dimension ref="A4:U292"/>
  <sheetViews>
    <sheetView topLeftCell="A4" zoomScaleNormal="100" workbookViewId="0">
      <pane xSplit="1" topLeftCell="B1" activePane="topRight" state="frozen"/>
      <selection activeCell="A151" sqref="A151"/>
      <selection pane="topRight" activeCell="C270" sqref="C270"/>
    </sheetView>
  </sheetViews>
  <sheetFormatPr baseColWidth="10" defaultColWidth="8.83203125" defaultRowHeight="13"/>
  <cols>
    <col min="1" max="1" width="50" style="17" customWidth="1"/>
    <col min="2" max="2" width="17" style="17" customWidth="1"/>
    <col min="3" max="3" width="18.1640625" style="17" customWidth="1"/>
    <col min="4" max="4" width="17.83203125" style="17" customWidth="1"/>
    <col min="5" max="5" width="17.6640625" style="17" customWidth="1"/>
    <col min="6" max="6" width="18" style="17" customWidth="1"/>
    <col min="7" max="7" width="17.6640625" style="17" customWidth="1"/>
    <col min="8" max="8" width="17.83203125" style="17" customWidth="1"/>
    <col min="9" max="9" width="18.33203125" style="17" customWidth="1"/>
    <col min="10" max="10" width="18" style="17" customWidth="1"/>
    <col min="11" max="11" width="19" style="17" customWidth="1"/>
    <col min="12" max="12" width="20.6640625" style="17" customWidth="1"/>
    <col min="13" max="200" width="12" style="17" customWidth="1"/>
    <col min="201" max="16384" width="8.83203125" style="17"/>
  </cols>
  <sheetData>
    <row r="4" spans="1:21">
      <c r="A4" s="18" t="s">
        <v>107</v>
      </c>
    </row>
    <row r="5" spans="1:21" ht="20">
      <c r="A5" s="19" t="s">
        <v>108</v>
      </c>
    </row>
    <row r="7" spans="1:21" ht="14">
      <c r="A7" s="20" t="s">
        <v>109</v>
      </c>
    </row>
    <row r="8" spans="1:21">
      <c r="A8" s="20"/>
    </row>
    <row r="9" spans="1:21">
      <c r="A9" s="20"/>
    </row>
    <row r="10" spans="1:21">
      <c r="A10" s="20"/>
    </row>
    <row r="11" spans="1:21">
      <c r="A11" s="20"/>
    </row>
    <row r="12" spans="1:21">
      <c r="L12" s="17" t="s">
        <v>110</v>
      </c>
    </row>
    <row r="13" spans="1:21" s="114" customFormat="1">
      <c r="A13" s="114" t="s">
        <v>295</v>
      </c>
      <c r="C13" s="115">
        <f>(C19-B19)/B19</f>
        <v>4.2335090868297058E-2</v>
      </c>
      <c r="D13" s="115">
        <f t="shared" ref="D13:J13" si="0">(D19-C19)/C19</f>
        <v>-5.7270856035839687E-2</v>
      </c>
      <c r="E13" s="115">
        <f t="shared" si="0"/>
        <v>2.5915460798584353E-2</v>
      </c>
      <c r="F13" s="115">
        <f t="shared" si="0"/>
        <v>6.3430240645430513E-2</v>
      </c>
      <c r="G13" s="115">
        <f t="shared" si="0"/>
        <v>6.7115761935905821E-2</v>
      </c>
      <c r="H13" s="115">
        <f t="shared" si="0"/>
        <v>5.8592074134908865E-3</v>
      </c>
      <c r="I13" s="115">
        <f t="shared" si="0"/>
        <v>6.3978357035791317E-3</v>
      </c>
      <c r="J13" s="115">
        <f t="shared" si="0"/>
        <v>0.13551051051051052</v>
      </c>
      <c r="K13" s="115">
        <f>(K19-J19)/J19</f>
        <v>1.2455345241268996E-2</v>
      </c>
      <c r="L13" s="116">
        <f>AVERAGE(C13:K13)</f>
        <v>3.3527621897914174E-2</v>
      </c>
    </row>
    <row r="14" spans="1:21">
      <c r="A14" s="17" t="s">
        <v>296</v>
      </c>
      <c r="B14" s="17">
        <v>2013</v>
      </c>
      <c r="C14" s="17">
        <v>2014</v>
      </c>
      <c r="D14" s="17">
        <f>C14+1</f>
        <v>2015</v>
      </c>
      <c r="E14" s="17">
        <f t="shared" ref="E14:K14" si="1">D14+1</f>
        <v>2016</v>
      </c>
      <c r="F14" s="17">
        <f t="shared" si="1"/>
        <v>2017</v>
      </c>
      <c r="G14" s="17">
        <f t="shared" si="1"/>
        <v>2018</v>
      </c>
      <c r="H14" s="17">
        <f t="shared" si="1"/>
        <v>2019</v>
      </c>
      <c r="I14" s="17">
        <f t="shared" si="1"/>
        <v>2020</v>
      </c>
      <c r="J14" s="17">
        <f t="shared" si="1"/>
        <v>2021</v>
      </c>
      <c r="K14" s="17">
        <f t="shared" si="1"/>
        <v>2022</v>
      </c>
    </row>
    <row r="15" spans="1:21" ht="14">
      <c r="A15" s="117" t="s">
        <v>0</v>
      </c>
      <c r="B15" s="118" t="s">
        <v>10</v>
      </c>
      <c r="C15" s="118" t="s">
        <v>9</v>
      </c>
      <c r="D15" s="118" t="s">
        <v>8</v>
      </c>
      <c r="E15" s="118" t="s">
        <v>7</v>
      </c>
      <c r="F15" s="118" t="s">
        <v>6</v>
      </c>
      <c r="G15" s="118" t="s">
        <v>5</v>
      </c>
      <c r="H15" s="118" t="s">
        <v>4</v>
      </c>
      <c r="I15" s="118" t="s">
        <v>3</v>
      </c>
      <c r="J15" s="118" t="s">
        <v>2</v>
      </c>
      <c r="K15" s="118" t="s">
        <v>1</v>
      </c>
      <c r="L15" s="117"/>
      <c r="M15" s="117"/>
      <c r="N15" s="117"/>
      <c r="O15" s="117"/>
      <c r="P15" s="117"/>
      <c r="Q15" s="117"/>
      <c r="R15" s="117"/>
      <c r="S15" s="117"/>
      <c r="T15" s="117"/>
      <c r="U15" s="117"/>
    </row>
    <row r="16" spans="1:21" ht="14">
      <c r="A16" s="117" t="s">
        <v>13</v>
      </c>
      <c r="B16" s="118" t="s">
        <v>14</v>
      </c>
      <c r="C16" s="118" t="s">
        <v>14</v>
      </c>
      <c r="D16" s="118" t="s">
        <v>14</v>
      </c>
      <c r="E16" s="118" t="s">
        <v>14</v>
      </c>
      <c r="F16" s="118" t="s">
        <v>14</v>
      </c>
      <c r="G16" s="118" t="s">
        <v>14</v>
      </c>
      <c r="H16" s="118" t="s">
        <v>14</v>
      </c>
      <c r="I16" s="118" t="s">
        <v>14</v>
      </c>
      <c r="J16" s="118" t="s">
        <v>14</v>
      </c>
      <c r="K16" s="118" t="s">
        <v>14</v>
      </c>
      <c r="L16" s="117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7"/>
      <c r="M17" s="117"/>
      <c r="N17" s="117"/>
      <c r="O17" s="117"/>
      <c r="P17" s="117"/>
      <c r="Q17" s="117"/>
      <c r="R17" s="117"/>
      <c r="S17" s="117"/>
      <c r="T17" s="117"/>
      <c r="U17" s="117"/>
    </row>
    <row r="18" spans="1:21">
      <c r="A18" s="119" t="s">
        <v>15</v>
      </c>
      <c r="B18" s="120">
        <v>71312</v>
      </c>
      <c r="C18" s="120">
        <v>74331</v>
      </c>
      <c r="D18" s="120">
        <v>70074</v>
      </c>
      <c r="E18" s="120">
        <v>71890</v>
      </c>
      <c r="F18" s="120">
        <v>76450</v>
      </c>
      <c r="G18" s="120">
        <v>81581</v>
      </c>
      <c r="H18" s="120">
        <v>82059</v>
      </c>
      <c r="I18" s="120">
        <v>82584</v>
      </c>
      <c r="J18" s="120">
        <v>93775</v>
      </c>
      <c r="K18" s="120">
        <v>94943</v>
      </c>
      <c r="L18" s="119"/>
      <c r="M18" s="119"/>
      <c r="N18" s="119"/>
      <c r="O18" s="119"/>
      <c r="P18" s="119"/>
      <c r="Q18" s="119"/>
      <c r="R18" s="119"/>
      <c r="S18" s="119"/>
      <c r="T18" s="119"/>
      <c r="U18" s="119"/>
    </row>
    <row r="19" spans="1:21" s="69" customFormat="1">
      <c r="A19" s="121" t="s">
        <v>16</v>
      </c>
      <c r="B19" s="122">
        <v>71312</v>
      </c>
      <c r="C19" s="122">
        <v>74331</v>
      </c>
      <c r="D19" s="122">
        <v>70074</v>
      </c>
      <c r="E19" s="122">
        <v>71890</v>
      </c>
      <c r="F19" s="122">
        <v>76450</v>
      </c>
      <c r="G19" s="122">
        <v>81581</v>
      </c>
      <c r="H19" s="122">
        <v>82059</v>
      </c>
      <c r="I19" s="122">
        <v>82584</v>
      </c>
      <c r="J19" s="122">
        <v>93775</v>
      </c>
      <c r="K19" s="122">
        <v>94943</v>
      </c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>
      <c r="A20" s="119" t="s">
        <v>297</v>
      </c>
      <c r="B20" s="120">
        <v>22342</v>
      </c>
      <c r="C20" s="120">
        <v>22746</v>
      </c>
      <c r="D20" s="120">
        <v>21536</v>
      </c>
      <c r="E20" s="120">
        <v>21685</v>
      </c>
      <c r="F20" s="120">
        <v>25354</v>
      </c>
      <c r="G20" s="120">
        <v>27091</v>
      </c>
      <c r="H20" s="120">
        <v>27556</v>
      </c>
      <c r="I20" s="120">
        <v>28427</v>
      </c>
      <c r="J20" s="120">
        <v>29855</v>
      </c>
      <c r="K20" s="120">
        <v>31089</v>
      </c>
      <c r="L20" s="119"/>
      <c r="M20" s="119"/>
      <c r="N20" s="119"/>
      <c r="O20" s="119"/>
      <c r="P20" s="119"/>
      <c r="Q20" s="119"/>
      <c r="R20" s="119"/>
      <c r="S20" s="119"/>
      <c r="T20" s="119"/>
      <c r="U20" s="119"/>
    </row>
    <row r="21" spans="1:21" s="69" customFormat="1">
      <c r="A21" s="121" t="s">
        <v>18</v>
      </c>
      <c r="B21" s="122">
        <v>48970</v>
      </c>
      <c r="C21" s="122">
        <v>51585</v>
      </c>
      <c r="D21" s="122">
        <v>48538</v>
      </c>
      <c r="E21" s="122">
        <v>50205</v>
      </c>
      <c r="F21" s="122">
        <v>51096</v>
      </c>
      <c r="G21" s="122">
        <v>54490</v>
      </c>
      <c r="H21" s="122">
        <v>54503</v>
      </c>
      <c r="I21" s="122">
        <v>54157</v>
      </c>
      <c r="J21" s="122">
        <v>63920</v>
      </c>
      <c r="K21" s="122">
        <v>63854</v>
      </c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>
      <c r="A22" s="119" t="s">
        <v>19</v>
      </c>
      <c r="B22" s="120">
        <v>21830</v>
      </c>
      <c r="C22" s="120">
        <v>21954</v>
      </c>
      <c r="D22" s="120">
        <v>21203</v>
      </c>
      <c r="E22" s="120">
        <v>19945</v>
      </c>
      <c r="F22" s="120">
        <v>21420</v>
      </c>
      <c r="G22" s="120">
        <v>22540</v>
      </c>
      <c r="H22" s="120">
        <v>22178</v>
      </c>
      <c r="I22" s="120">
        <v>22084</v>
      </c>
      <c r="J22" s="120">
        <v>24659</v>
      </c>
      <c r="K22" s="120">
        <v>24765</v>
      </c>
      <c r="L22" s="119"/>
      <c r="M22" s="119"/>
      <c r="N22" s="119"/>
      <c r="O22" s="119"/>
      <c r="P22" s="119"/>
      <c r="Q22" s="119"/>
      <c r="R22" s="119"/>
      <c r="S22" s="119"/>
      <c r="T22" s="119"/>
      <c r="U22" s="119"/>
    </row>
    <row r="23" spans="1:21">
      <c r="A23" s="119" t="s">
        <v>20</v>
      </c>
      <c r="B23" s="120">
        <v>8763</v>
      </c>
      <c r="C23" s="120">
        <v>8672</v>
      </c>
      <c r="D23" s="120">
        <v>9270</v>
      </c>
      <c r="E23" s="120">
        <v>9124</v>
      </c>
      <c r="F23" s="120">
        <v>10962</v>
      </c>
      <c r="G23" s="120">
        <v>11901</v>
      </c>
      <c r="H23" s="120">
        <v>12245</v>
      </c>
      <c r="I23" s="120">
        <v>12340</v>
      </c>
      <c r="J23" s="120">
        <v>15614</v>
      </c>
      <c r="K23" s="120">
        <v>15386</v>
      </c>
      <c r="L23" s="119"/>
      <c r="M23" s="119"/>
      <c r="N23" s="119"/>
      <c r="O23" s="119"/>
      <c r="P23" s="119"/>
      <c r="Q23" s="119"/>
      <c r="R23" s="119"/>
      <c r="S23" s="119"/>
      <c r="T23" s="119"/>
      <c r="U23" s="119"/>
    </row>
    <row r="24" spans="1:21">
      <c r="A24" s="119" t="s">
        <v>21</v>
      </c>
      <c r="B24" s="123" t="s">
        <v>22</v>
      </c>
      <c r="C24" s="123" t="s">
        <v>22</v>
      </c>
      <c r="D24" s="120">
        <v>509</v>
      </c>
      <c r="E24" s="120">
        <v>491</v>
      </c>
      <c r="F24" s="120">
        <v>309</v>
      </c>
      <c r="G24" s="120">
        <v>251</v>
      </c>
      <c r="H24" s="120">
        <v>266</v>
      </c>
      <c r="I24" s="120">
        <v>247</v>
      </c>
      <c r="J24" s="120">
        <v>252</v>
      </c>
      <c r="K24" s="120">
        <v>321</v>
      </c>
      <c r="L24" s="119"/>
      <c r="M24" s="119"/>
      <c r="N24" s="119"/>
      <c r="O24" s="119"/>
      <c r="P24" s="119"/>
      <c r="Q24" s="119"/>
      <c r="R24" s="119"/>
      <c r="S24" s="119"/>
      <c r="T24" s="119"/>
      <c r="U24" s="119"/>
    </row>
    <row r="25" spans="1:21">
      <c r="A25" s="119" t="s">
        <v>23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19"/>
      <c r="M25" s="119"/>
      <c r="N25" s="119"/>
      <c r="O25" s="119"/>
      <c r="P25" s="119"/>
      <c r="Q25" s="119"/>
      <c r="R25" s="119"/>
      <c r="S25" s="119"/>
      <c r="T25" s="119"/>
      <c r="U25" s="119"/>
    </row>
    <row r="26" spans="1:21">
      <c r="A26" s="119" t="s">
        <v>24</v>
      </c>
      <c r="B26" s="120">
        <v>30593</v>
      </c>
      <c r="C26" s="120">
        <v>30626</v>
      </c>
      <c r="D26" s="120">
        <v>30982</v>
      </c>
      <c r="E26" s="120">
        <v>29560</v>
      </c>
      <c r="F26" s="120">
        <v>32691</v>
      </c>
      <c r="G26" s="120">
        <v>34692</v>
      </c>
      <c r="H26" s="120">
        <v>34689</v>
      </c>
      <c r="I26" s="120">
        <v>34671</v>
      </c>
      <c r="J26" s="120">
        <v>40525</v>
      </c>
      <c r="K26" s="120">
        <v>40472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</row>
    <row r="27" spans="1:21">
      <c r="A27" s="119" t="s">
        <v>25</v>
      </c>
      <c r="B27" s="120">
        <v>18377</v>
      </c>
      <c r="C27" s="120">
        <v>20959</v>
      </c>
      <c r="D27" s="120">
        <v>17556</v>
      </c>
      <c r="E27" s="120">
        <v>20645</v>
      </c>
      <c r="F27" s="120">
        <v>18405</v>
      </c>
      <c r="G27" s="120">
        <v>19798</v>
      </c>
      <c r="H27" s="120">
        <v>19814</v>
      </c>
      <c r="I27" s="120">
        <v>19486</v>
      </c>
      <c r="J27" s="120">
        <v>23395</v>
      </c>
      <c r="K27" s="120">
        <v>23382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</row>
    <row r="28" spans="1:21">
      <c r="A28" s="124" t="s">
        <v>26</v>
      </c>
      <c r="B28" s="120">
        <v>-408</v>
      </c>
      <c r="C28" s="120">
        <v>-466</v>
      </c>
      <c r="D28" s="120">
        <v>-424</v>
      </c>
      <c r="E28" s="120">
        <v>-358</v>
      </c>
      <c r="F28" s="120">
        <v>-549</v>
      </c>
      <c r="G28" s="120">
        <v>-394</v>
      </c>
      <c r="H28" s="120">
        <v>39</v>
      </c>
      <c r="I28" s="120">
        <v>-90</v>
      </c>
      <c r="J28" s="120">
        <v>-130</v>
      </c>
      <c r="K28" s="120">
        <v>214</v>
      </c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>
      <c r="A29" s="119" t="s">
        <v>27</v>
      </c>
      <c r="B29" s="120">
        <v>-2498</v>
      </c>
      <c r="C29" s="120">
        <v>70</v>
      </c>
      <c r="D29" s="120">
        <v>2064</v>
      </c>
      <c r="E29" s="120">
        <v>-484</v>
      </c>
      <c r="F29" s="120">
        <v>-183</v>
      </c>
      <c r="G29" s="120">
        <v>-1405</v>
      </c>
      <c r="H29" s="120">
        <v>-2525</v>
      </c>
      <c r="I29" s="120">
        <v>-2899</v>
      </c>
      <c r="J29" s="120">
        <v>-489</v>
      </c>
      <c r="K29" s="120">
        <v>-1871</v>
      </c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21">
      <c r="A30" s="119" t="s">
        <v>28</v>
      </c>
      <c r="B30" s="120">
        <v>-2906</v>
      </c>
      <c r="C30" s="120">
        <v>-396</v>
      </c>
      <c r="D30" s="120">
        <v>1640</v>
      </c>
      <c r="E30" s="120">
        <v>-842</v>
      </c>
      <c r="F30" s="120">
        <v>-732</v>
      </c>
      <c r="G30" s="120">
        <v>-1799</v>
      </c>
      <c r="H30" s="120">
        <v>-2486</v>
      </c>
      <c r="I30" s="120">
        <v>-2989</v>
      </c>
      <c r="J30" s="120">
        <v>-619</v>
      </c>
      <c r="K30" s="120">
        <v>-1657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21">
      <c r="A31" s="119" t="s">
        <v>29</v>
      </c>
      <c r="B31" s="120">
        <v>15471</v>
      </c>
      <c r="C31" s="120">
        <v>20563</v>
      </c>
      <c r="D31" s="120">
        <v>19196</v>
      </c>
      <c r="E31" s="120">
        <v>19803</v>
      </c>
      <c r="F31" s="120">
        <v>17673</v>
      </c>
      <c r="G31" s="120">
        <v>17999</v>
      </c>
      <c r="H31" s="120">
        <v>17328</v>
      </c>
      <c r="I31" s="120">
        <v>16497</v>
      </c>
      <c r="J31" s="120">
        <v>22776</v>
      </c>
      <c r="K31" s="120">
        <v>21725</v>
      </c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21">
      <c r="A32" s="119" t="s">
        <v>30</v>
      </c>
      <c r="B32" s="120">
        <v>1640</v>
      </c>
      <c r="C32" s="120">
        <v>4240</v>
      </c>
      <c r="D32" s="120">
        <v>3787</v>
      </c>
      <c r="E32" s="120">
        <v>3263</v>
      </c>
      <c r="F32" s="120">
        <v>16373</v>
      </c>
      <c r="G32" s="120">
        <v>2702</v>
      </c>
      <c r="H32" s="120">
        <v>2209</v>
      </c>
      <c r="I32" s="120">
        <v>1783</v>
      </c>
      <c r="J32" s="120">
        <v>1898</v>
      </c>
      <c r="K32" s="120">
        <v>3784</v>
      </c>
      <c r="L32" s="119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1:21">
      <c r="A33" s="119" t="s">
        <v>31</v>
      </c>
      <c r="B33" s="120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1:21">
      <c r="A34" s="119" t="s">
        <v>32</v>
      </c>
      <c r="B34" s="120">
        <v>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19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1:21" s="69" customFormat="1">
      <c r="A35" s="121" t="s">
        <v>33</v>
      </c>
      <c r="B35" s="122">
        <v>13831</v>
      </c>
      <c r="C35" s="122">
        <v>16323</v>
      </c>
      <c r="D35" s="122">
        <v>15409</v>
      </c>
      <c r="E35" s="122">
        <v>16540</v>
      </c>
      <c r="F35" s="122">
        <v>1300</v>
      </c>
      <c r="G35" s="122">
        <v>15297</v>
      </c>
      <c r="H35" s="122">
        <v>15119</v>
      </c>
      <c r="I35" s="122">
        <v>14714</v>
      </c>
      <c r="J35" s="122">
        <v>20878</v>
      </c>
      <c r="K35" s="122">
        <v>17941</v>
      </c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>
      <c r="A36" s="119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1:21">
      <c r="A37" s="119" t="s">
        <v>34</v>
      </c>
      <c r="B37" s="125">
        <v>0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1:21">
      <c r="A38" s="119" t="s">
        <v>35</v>
      </c>
      <c r="B38" s="125">
        <v>13831</v>
      </c>
      <c r="C38" s="125">
        <v>16323</v>
      </c>
      <c r="D38" s="125">
        <v>15409</v>
      </c>
      <c r="E38" s="125">
        <v>16540</v>
      </c>
      <c r="F38" s="125">
        <v>1300</v>
      </c>
      <c r="G38" s="125">
        <v>15297</v>
      </c>
      <c r="H38" s="125">
        <v>15119</v>
      </c>
      <c r="I38" s="125">
        <v>14714</v>
      </c>
      <c r="J38" s="125">
        <v>20878</v>
      </c>
      <c r="K38" s="125">
        <v>17941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1:21">
      <c r="A39" s="119" t="s">
        <v>36</v>
      </c>
      <c r="B39" s="126">
        <v>2809.2</v>
      </c>
      <c r="C39" s="126">
        <v>2815.2</v>
      </c>
      <c r="D39" s="126">
        <v>2771.8</v>
      </c>
      <c r="E39" s="126">
        <v>2737.3</v>
      </c>
      <c r="F39" s="125">
        <v>2692</v>
      </c>
      <c r="G39" s="126">
        <v>2681.5</v>
      </c>
      <c r="H39" s="126">
        <v>2645.1</v>
      </c>
      <c r="I39" s="126">
        <v>2632.8</v>
      </c>
      <c r="J39" s="126">
        <v>2632.1</v>
      </c>
      <c r="K39" s="126">
        <v>2625.2</v>
      </c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1:21">
      <c r="A40" s="119" t="s">
        <v>37</v>
      </c>
      <c r="B40" s="127">
        <v>4.92</v>
      </c>
      <c r="C40" s="126">
        <v>5.8</v>
      </c>
      <c r="D40" s="127">
        <v>5.56</v>
      </c>
      <c r="E40" s="127">
        <v>6.04</v>
      </c>
      <c r="F40" s="127">
        <v>0.48</v>
      </c>
      <c r="G40" s="126">
        <v>5.7</v>
      </c>
      <c r="H40" s="127">
        <v>5.72</v>
      </c>
      <c r="I40" s="127">
        <v>5.59</v>
      </c>
      <c r="J40" s="127">
        <v>7.93</v>
      </c>
      <c r="K40" s="127">
        <v>6.83</v>
      </c>
      <c r="L40" s="119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1:21">
      <c r="A41" s="119" t="s">
        <v>38</v>
      </c>
      <c r="B41" s="127">
        <v>4.92</v>
      </c>
      <c r="C41" s="126">
        <v>5.8</v>
      </c>
      <c r="D41" s="127">
        <v>5.56</v>
      </c>
      <c r="E41" s="127">
        <v>6.04</v>
      </c>
      <c r="F41" s="127">
        <v>0.48</v>
      </c>
      <c r="G41" s="126">
        <v>5.7</v>
      </c>
      <c r="H41" s="127">
        <v>5.72</v>
      </c>
      <c r="I41" s="127">
        <v>5.59</v>
      </c>
      <c r="J41" s="127">
        <v>7.93</v>
      </c>
      <c r="K41" s="127">
        <v>6.83</v>
      </c>
      <c r="L41" s="119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1:21">
      <c r="A42" s="119" t="s">
        <v>39</v>
      </c>
      <c r="B42" s="125">
        <v>2877</v>
      </c>
      <c r="C42" s="126">
        <v>2863.9</v>
      </c>
      <c r="D42" s="126">
        <v>2812.9</v>
      </c>
      <c r="E42" s="126">
        <v>2788.9</v>
      </c>
      <c r="F42" s="126">
        <v>2745.3</v>
      </c>
      <c r="G42" s="126">
        <v>2728.7</v>
      </c>
      <c r="H42" s="126">
        <v>2684.3</v>
      </c>
      <c r="I42" s="126">
        <v>2670.7</v>
      </c>
      <c r="J42" s="125">
        <v>2674</v>
      </c>
      <c r="K42" s="126">
        <v>2663.9</v>
      </c>
      <c r="L42" s="119"/>
      <c r="M42" s="119"/>
      <c r="N42" s="119"/>
      <c r="O42" s="119"/>
      <c r="P42" s="119"/>
      <c r="Q42" s="119"/>
      <c r="R42" s="119"/>
      <c r="S42" s="119"/>
      <c r="T42" s="119"/>
      <c r="U42" s="119"/>
    </row>
    <row r="43" spans="1:21">
      <c r="A43" s="119" t="s">
        <v>40</v>
      </c>
      <c r="B43" s="127">
        <v>4.8099999999999996</v>
      </c>
      <c r="C43" s="126">
        <v>5.7</v>
      </c>
      <c r="D43" s="127">
        <v>5.48</v>
      </c>
      <c r="E43" s="127">
        <v>5.93</v>
      </c>
      <c r="F43" s="127">
        <v>0.47</v>
      </c>
      <c r="G43" s="127">
        <v>5.61</v>
      </c>
      <c r="H43" s="127">
        <v>5.63</v>
      </c>
      <c r="I43" s="127">
        <v>5.51</v>
      </c>
      <c r="J43" s="127">
        <v>7.81</v>
      </c>
      <c r="K43" s="127">
        <v>6.73</v>
      </c>
      <c r="L43" s="119"/>
      <c r="M43" s="119"/>
      <c r="N43" s="119"/>
      <c r="O43" s="119"/>
      <c r="P43" s="119"/>
      <c r="Q43" s="119"/>
      <c r="R43" s="119"/>
      <c r="S43" s="119"/>
      <c r="T43" s="119"/>
      <c r="U43" s="119"/>
    </row>
    <row r="44" spans="1:21">
      <c r="A44" s="119" t="s">
        <v>41</v>
      </c>
      <c r="B44" s="127">
        <v>4.8099999999999996</v>
      </c>
      <c r="C44" s="126">
        <v>5.7</v>
      </c>
      <c r="D44" s="127">
        <v>5.48</v>
      </c>
      <c r="E44" s="127">
        <v>5.93</v>
      </c>
      <c r="F44" s="127">
        <v>0.47</v>
      </c>
      <c r="G44" s="127">
        <v>5.61</v>
      </c>
      <c r="H44" s="127">
        <v>5.63</v>
      </c>
      <c r="I44" s="127">
        <v>5.51</v>
      </c>
      <c r="J44" s="127">
        <v>7.81</v>
      </c>
      <c r="K44" s="127">
        <v>6.73</v>
      </c>
      <c r="L44" s="119"/>
      <c r="M44" s="119"/>
      <c r="N44" s="119"/>
      <c r="O44" s="119"/>
      <c r="P44" s="119"/>
      <c r="Q44" s="119"/>
      <c r="R44" s="119"/>
      <c r="S44" s="119"/>
      <c r="T44" s="119"/>
      <c r="U44" s="119"/>
    </row>
    <row r="45" spans="1:21">
      <c r="A45" s="119" t="s">
        <v>42</v>
      </c>
      <c r="B45" s="128">
        <v>2820.6280000000002</v>
      </c>
      <c r="C45" s="128">
        <v>2783.223</v>
      </c>
      <c r="D45" s="128">
        <v>2755.1619999999998</v>
      </c>
      <c r="E45" s="128">
        <v>2706.511</v>
      </c>
      <c r="F45" s="128">
        <v>2682.5250000000001</v>
      </c>
      <c r="G45" s="128">
        <v>2662.3240000000001</v>
      </c>
      <c r="H45" s="128">
        <v>2632.5070000000001</v>
      </c>
      <c r="I45" s="128">
        <v>2632.5120000000002</v>
      </c>
      <c r="J45" s="128">
        <v>2628.9650000000001</v>
      </c>
      <c r="K45" s="128">
        <v>2613.5970000000002</v>
      </c>
      <c r="L45" s="119"/>
      <c r="M45" s="119"/>
      <c r="N45" s="119"/>
      <c r="O45" s="119"/>
      <c r="P45" s="119"/>
      <c r="Q45" s="119"/>
      <c r="R45" s="119"/>
      <c r="S45" s="119"/>
      <c r="T45" s="119"/>
      <c r="U45" s="119"/>
    </row>
    <row r="47" spans="1:21">
      <c r="A47" s="119" t="s">
        <v>298</v>
      </c>
      <c r="B47" s="120">
        <v>11713</v>
      </c>
      <c r="C47" s="120">
        <v>10985</v>
      </c>
      <c r="D47" s="120">
        <v>10734</v>
      </c>
      <c r="E47" s="120">
        <v>11699</v>
      </c>
      <c r="F47" s="120">
        <v>13490</v>
      </c>
      <c r="G47" s="120">
        <v>14098</v>
      </c>
      <c r="H47" s="120">
        <v>14481</v>
      </c>
      <c r="I47" s="120">
        <v>13576</v>
      </c>
      <c r="J47" s="120">
        <v>15283</v>
      </c>
      <c r="K47" s="120">
        <v>16160</v>
      </c>
    </row>
    <row r="49" spans="1:11">
      <c r="A49" s="129" t="s">
        <v>299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</row>
    <row r="50" spans="1:11">
      <c r="A50" s="129" t="s">
        <v>102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</row>
    <row r="51" spans="1:11">
      <c r="A51" s="17" t="s">
        <v>94</v>
      </c>
      <c r="B51" s="131">
        <f>B20/'[1]Company_Balance sheet'!B17</f>
        <v>2.8359989845138358</v>
      </c>
      <c r="C51" s="131">
        <f>C20/'[1]Company_Balance sheet'!C17</f>
        <v>2.7793255131964809</v>
      </c>
      <c r="D51" s="131">
        <f>D20/'[1]Company_Balance sheet'!D17</f>
        <v>2.6742828759468522</v>
      </c>
      <c r="E51" s="131">
        <f>E20/'[1]Company_Balance sheet'!E17</f>
        <v>2.6626964636542239</v>
      </c>
      <c r="F51" s="131">
        <f>F20/'[1]Company_Balance sheet'!F17</f>
        <v>2.8926411865373645</v>
      </c>
      <c r="G51" s="131">
        <f>G20/'[1]Company_Balance sheet'!G17</f>
        <v>3.1504826142574718</v>
      </c>
      <c r="H51" s="131">
        <f>H20/'[1]Company_Balance sheet'!H17</f>
        <v>3.0549889135254991</v>
      </c>
      <c r="I51" s="131">
        <f>I20/'[1]Company_Balance sheet'!I17</f>
        <v>3.0422731164383561</v>
      </c>
      <c r="J51" s="131">
        <f>J20/'[1]Company_Balance sheet'!J17</f>
        <v>2.874265909309714</v>
      </c>
      <c r="K51" s="131">
        <f>K20/'[1]Company_Balance sheet'!K17</f>
        <v>2.490507089641913</v>
      </c>
    </row>
    <row r="52" spans="1:11">
      <c r="A52" s="17" t="s">
        <v>95</v>
      </c>
      <c r="B52" s="131">
        <f>365/B51</f>
        <v>128.70244382776835</v>
      </c>
      <c r="C52" s="131">
        <f t="shared" ref="C52:K52" si="2">365/C51</f>
        <v>131.32682669480349</v>
      </c>
      <c r="D52" s="131">
        <f t="shared" si="2"/>
        <v>136.48518759286776</v>
      </c>
      <c r="E52" s="131">
        <f t="shared" si="2"/>
        <v>137.07908692644685</v>
      </c>
      <c r="F52" s="131">
        <f t="shared" si="2"/>
        <v>126.18225920959217</v>
      </c>
      <c r="G52" s="131">
        <f t="shared" si="2"/>
        <v>115.85526558635709</v>
      </c>
      <c r="H52" s="131">
        <f t="shared" si="2"/>
        <v>119.47670198867759</v>
      </c>
      <c r="I52" s="131">
        <f t="shared" si="2"/>
        <v>119.97607907974813</v>
      </c>
      <c r="J52" s="131">
        <f t="shared" si="2"/>
        <v>126.98894657511305</v>
      </c>
      <c r="K52" s="131">
        <f t="shared" si="2"/>
        <v>146.55649908327703</v>
      </c>
    </row>
    <row r="53" spans="1:11">
      <c r="A53" s="17" t="s">
        <v>300</v>
      </c>
      <c r="B53" s="131">
        <f>B18/B47</f>
        <v>6.0882779817297017</v>
      </c>
      <c r="C53" s="131">
        <f t="shared" ref="C53:K53" si="3">C18/C47</f>
        <v>6.7665908056440598</v>
      </c>
      <c r="D53" s="131">
        <f t="shared" si="3"/>
        <v>6.5282280603689209</v>
      </c>
      <c r="E53" s="131">
        <f t="shared" si="3"/>
        <v>6.1449696555261131</v>
      </c>
      <c r="F53" s="131">
        <f t="shared" si="3"/>
        <v>5.6671608598962191</v>
      </c>
      <c r="G53" s="131">
        <f t="shared" si="3"/>
        <v>5.7867073343736699</v>
      </c>
      <c r="H53" s="131">
        <f t="shared" si="3"/>
        <v>5.666666666666667</v>
      </c>
      <c r="I53" s="131">
        <f t="shared" si="3"/>
        <v>6.0830878020035355</v>
      </c>
      <c r="J53" s="131">
        <f t="shared" si="3"/>
        <v>6.1359026369168355</v>
      </c>
      <c r="K53" s="131">
        <f t="shared" si="3"/>
        <v>5.8751856435643566</v>
      </c>
    </row>
    <row r="54" spans="1:11">
      <c r="A54" s="17" t="s">
        <v>97</v>
      </c>
      <c r="B54" s="131">
        <f>365/B53</f>
        <v>59.951270473412613</v>
      </c>
      <c r="C54" s="131">
        <f t="shared" ref="C54:K54" si="4">365/C53</f>
        <v>53.94149143695094</v>
      </c>
      <c r="D54" s="131">
        <f t="shared" si="4"/>
        <v>55.911036903844511</v>
      </c>
      <c r="E54" s="131">
        <f t="shared" si="4"/>
        <v>59.398177771595499</v>
      </c>
      <c r="F54" s="131">
        <f t="shared" si="4"/>
        <v>64.406147809025512</v>
      </c>
      <c r="G54" s="131">
        <f t="shared" si="4"/>
        <v>63.075593581838909</v>
      </c>
      <c r="H54" s="131">
        <f t="shared" si="4"/>
        <v>64.411764705882348</v>
      </c>
      <c r="I54" s="131">
        <f t="shared" si="4"/>
        <v>60.002421776615328</v>
      </c>
      <c r="J54" s="131">
        <f t="shared" si="4"/>
        <v>59.485950413223144</v>
      </c>
      <c r="K54" s="131">
        <f t="shared" si="4"/>
        <v>62.125696470513887</v>
      </c>
    </row>
    <row r="55" spans="1:11">
      <c r="A55" s="17" t="s">
        <v>101</v>
      </c>
      <c r="B55" s="131">
        <f>B18/'[1]Company_Balance sheet'!B24</f>
        <v>4.2676241771394379</v>
      </c>
      <c r="C55" s="131">
        <f>C18/'[1]Company_Balance sheet'!C24</f>
        <v>4.6093885650502298</v>
      </c>
      <c r="D55" s="131">
        <f>D18/'[1]Company_Balance sheet'!D24</f>
        <v>4.4057843445457401</v>
      </c>
      <c r="E55" s="131">
        <f>E18/'[1]Company_Balance sheet'!E24</f>
        <v>4.5179738562091503</v>
      </c>
      <c r="F55" s="131">
        <f>F18/'[1]Company_Balance sheet'!F24</f>
        <v>4.4957365480740963</v>
      </c>
      <c r="G55" s="131">
        <f>G18/'[1]Company_Balance sheet'!G24</f>
        <v>4.7890226005283241</v>
      </c>
      <c r="H55" s="131">
        <f>H18/'[1]Company_Balance sheet'!H24</f>
        <v>4.6471287801563035</v>
      </c>
      <c r="I55" s="131">
        <f>I18/'[1]Company_Balance sheet'!I24</f>
        <v>4.4007247149099431</v>
      </c>
      <c r="J55" s="131">
        <f>J18/'[1]Company_Balance sheet'!J24</f>
        <v>4.9454171500896527</v>
      </c>
      <c r="K55" s="131">
        <f>K18/'[1]Company_Balance sheet'!K24</f>
        <v>4.7943745897086298</v>
      </c>
    </row>
    <row r="57" spans="1:11">
      <c r="A57" s="129" t="s">
        <v>301</v>
      </c>
    </row>
    <row r="58" spans="1:11">
      <c r="A58" s="17" t="s">
        <v>98</v>
      </c>
      <c r="B58" s="132">
        <f t="shared" ref="B58:K58" si="5">B35/B19</f>
        <v>0.19395052726048911</v>
      </c>
      <c r="C58" s="132">
        <f t="shared" si="5"/>
        <v>0.21959882148767002</v>
      </c>
      <c r="D58" s="132">
        <f t="shared" si="5"/>
        <v>0.21989610982675456</v>
      </c>
      <c r="E58" s="132">
        <f t="shared" si="5"/>
        <v>0.23007372374460983</v>
      </c>
      <c r="F58" s="132">
        <f t="shared" si="5"/>
        <v>1.7004578155657292E-2</v>
      </c>
      <c r="G58" s="132">
        <f t="shared" si="5"/>
        <v>0.18750689498780354</v>
      </c>
      <c r="H58" s="132">
        <f t="shared" si="5"/>
        <v>0.18424548190935791</v>
      </c>
      <c r="I58" s="132">
        <f t="shared" si="5"/>
        <v>0.17817010558946042</v>
      </c>
      <c r="J58" s="132">
        <f t="shared" si="5"/>
        <v>0.22263929618768327</v>
      </c>
      <c r="K58" s="132">
        <f t="shared" si="5"/>
        <v>0.18896601118565876</v>
      </c>
    </row>
    <row r="59" spans="1:11">
      <c r="A59" s="17" t="s">
        <v>99</v>
      </c>
      <c r="B59" s="132">
        <f>B35/'[1]Company_Balance sheet'!B28</f>
        <v>0.10424093516124899</v>
      </c>
      <c r="C59" s="132">
        <f>C35/'[1]Company_Balance sheet'!C28</f>
        <v>0.12448996712909648</v>
      </c>
      <c r="D59" s="132">
        <f>D35/'[1]Company_Balance sheet'!D28</f>
        <v>0.1155002211211969</v>
      </c>
      <c r="E59" s="132">
        <f>E35/'[1]Company_Balance sheet'!E28</f>
        <v>0.11713217381451475</v>
      </c>
      <c r="F59" s="132">
        <f>F35/'[1]Company_Balance sheet'!F28</f>
        <v>8.2643051944336719E-3</v>
      </c>
      <c r="G59" s="132">
        <f>G35/'[1]Company_Balance sheet'!G28</f>
        <v>0.10001046066137531</v>
      </c>
      <c r="H59" s="132">
        <f>H35/'[1]Company_Balance sheet'!H28</f>
        <v>9.5854889429904652E-2</v>
      </c>
      <c r="I59" s="132">
        <f>I35/'[1]Company_Balance sheet'!I28</f>
        <v>8.4130959323933358E-2</v>
      </c>
      <c r="J59" s="132">
        <f>J35/'[1]Company_Balance sheet'!J28</f>
        <v>0.1147029414673274</v>
      </c>
      <c r="K59" s="132">
        <f>K35/'[1]Company_Balance sheet'!K28</f>
        <v>9.574763312662106E-2</v>
      </c>
    </row>
    <row r="60" spans="1:11">
      <c r="A60" s="17" t="s">
        <v>100</v>
      </c>
      <c r="B60" s="132">
        <f>B35/'[1]Company_Balance sheet'!B47</f>
        <v>0.18677163653059295</v>
      </c>
      <c r="C60" s="132">
        <f>C35/'[1]Company_Balance sheet'!C47</f>
        <v>0.23401479527468746</v>
      </c>
      <c r="D60" s="132">
        <f>D35/'[1]Company_Balance sheet'!D47</f>
        <v>0.21657062543921293</v>
      </c>
      <c r="E60" s="132">
        <f>E35/'[1]Company_Balance sheet'!E47</f>
        <v>0.23488312647334489</v>
      </c>
      <c r="F60" s="132">
        <f>F35/'[1]Company_Balance sheet'!F47</f>
        <v>2.1609042553191491E-2</v>
      </c>
      <c r="G60" s="132">
        <f>G35/'[1]Company_Balance sheet'!G47</f>
        <v>0.25600816709064134</v>
      </c>
      <c r="H60" s="132">
        <f>H35/'[1]Company_Balance sheet'!H47</f>
        <v>0.25422474819660001</v>
      </c>
      <c r="I60" s="132">
        <f>I35/'[1]Company_Balance sheet'!I47</f>
        <v>0.23252947311861943</v>
      </c>
      <c r="J60" s="132">
        <f>J35/'[1]Company_Balance sheet'!J47</f>
        <v>0.28204747173175904</v>
      </c>
      <c r="K60" s="132">
        <f>K35/'[1]Company_Balance sheet'!K47</f>
        <v>0.23359460444768501</v>
      </c>
    </row>
    <row r="72" spans="1:11" s="133" customFormat="1"/>
    <row r="77" spans="1:11">
      <c r="A77" s="18" t="s">
        <v>107</v>
      </c>
    </row>
    <row r="78" spans="1:11" ht="20">
      <c r="A78" s="19" t="s">
        <v>108</v>
      </c>
    </row>
    <row r="80" spans="1:11" ht="14">
      <c r="A80" s="20" t="s">
        <v>109</v>
      </c>
      <c r="B80" s="17">
        <v>1000</v>
      </c>
      <c r="F80" s="134"/>
      <c r="G80" s="134"/>
      <c r="H80" s="134"/>
      <c r="I80" s="134"/>
      <c r="J80" s="134"/>
      <c r="K80" s="134"/>
    </row>
    <row r="81" spans="1:12">
      <c r="A81" s="20"/>
    </row>
    <row r="82" spans="1:12">
      <c r="A82" s="17" t="s">
        <v>302</v>
      </c>
      <c r="C82" s="134">
        <f>(C264-B264)/B264</f>
        <v>-0.15132111226966524</v>
      </c>
      <c r="D82" s="134">
        <f t="shared" ref="D82:K82" si="6">(D264-C264)/C264</f>
        <v>1.7491180488998552E-2</v>
      </c>
      <c r="E82" s="134">
        <f t="shared" si="6"/>
        <v>6.3300715978495598E-2</v>
      </c>
      <c r="F82" s="134">
        <f t="shared" si="6"/>
        <v>7.7711442317207058E-2</v>
      </c>
      <c r="G82" s="134">
        <f t="shared" si="6"/>
        <v>7.3646884960627518E-2</v>
      </c>
      <c r="H82" s="134">
        <f t="shared" si="6"/>
        <v>-9.1066432640893966E-2</v>
      </c>
      <c r="I82" s="134">
        <f t="shared" si="6"/>
        <v>9.9478034902215545E-2</v>
      </c>
      <c r="J82" s="134">
        <f t="shared" si="6"/>
        <v>0.15397843503207034</v>
      </c>
      <c r="K82" s="134">
        <f t="shared" si="6"/>
        <v>7.8747386858014582E-3</v>
      </c>
    </row>
    <row r="83" spans="1:12">
      <c r="A83" s="17" t="s">
        <v>303</v>
      </c>
      <c r="C83" s="134">
        <f>(C210-B210)/B210</f>
        <v>-4.0787591124838186E-2</v>
      </c>
      <c r="D83" s="134">
        <f t="shared" ref="D83:K83" si="7">(D210-C210)/C210</f>
        <v>-6.4848355707081473E-2</v>
      </c>
      <c r="E83" s="134">
        <f t="shared" si="7"/>
        <v>7.8231809205529402E-3</v>
      </c>
      <c r="F83" s="134">
        <f t="shared" si="7"/>
        <v>7.9131810988017186E-3</v>
      </c>
      <c r="G83" s="134">
        <f t="shared" si="7"/>
        <v>5.413488858980111E-2</v>
      </c>
      <c r="H83" s="134">
        <f t="shared" si="7"/>
        <v>0.10748569537050173</v>
      </c>
      <c r="I83" s="134">
        <f t="shared" si="7"/>
        <v>2.4637062339880444E-2</v>
      </c>
      <c r="J83" s="134">
        <f t="shared" si="7"/>
        <v>1.4793515856148685E-2</v>
      </c>
      <c r="K83" s="134">
        <f t="shared" si="7"/>
        <v>0.21721008541392903</v>
      </c>
    </row>
    <row r="84" spans="1:12">
      <c r="A84" s="17" t="s">
        <v>304</v>
      </c>
      <c r="C84" s="135">
        <f>(C156-B156)/B156</f>
        <v>-3.8364609181141436E-2</v>
      </c>
      <c r="D84" s="135">
        <f>(D156-C156)/C156</f>
        <v>-1.5200080637032556E-2</v>
      </c>
      <c r="E84" s="135">
        <f t="shared" ref="E84:J84" si="8">(E156-D156)/D156</f>
        <v>8.1328939018648544E-2</v>
      </c>
      <c r="F84" s="135">
        <f t="shared" si="8"/>
        <v>-5.2627593518097832E-3</v>
      </c>
      <c r="G84" s="135">
        <f t="shared" si="8"/>
        <v>2.0953069691318084E-2</v>
      </c>
      <c r="H84" s="135">
        <f t="shared" si="8"/>
        <v>-3.5360784386824988E-2</v>
      </c>
      <c r="I84" s="135">
        <f t="shared" si="8"/>
        <v>-0.19018357487922705</v>
      </c>
      <c r="J84" s="135">
        <f t="shared" si="8"/>
        <v>0.93967738856542904</v>
      </c>
      <c r="K84" s="135">
        <f>(K156-J156)/J156</f>
        <v>0.23425351835449268</v>
      </c>
      <c r="L84" s="17" t="s">
        <v>110</v>
      </c>
    </row>
    <row r="85" spans="1:12">
      <c r="A85" s="136" t="s">
        <v>305</v>
      </c>
      <c r="B85" s="136"/>
      <c r="C85" s="137">
        <f>(C91-B91)/B91</f>
        <v>4.2335090868297058E-2</v>
      </c>
      <c r="D85" s="137">
        <f t="shared" ref="D85:K85" si="9">(D91-C91)/C91</f>
        <v>-5.7270856035839687E-2</v>
      </c>
      <c r="E85" s="137">
        <f t="shared" si="9"/>
        <v>2.5915460798584353E-2</v>
      </c>
      <c r="F85" s="137">
        <f t="shared" si="9"/>
        <v>6.3430240645430513E-2</v>
      </c>
      <c r="G85" s="137">
        <f t="shared" si="9"/>
        <v>6.7115761935905821E-2</v>
      </c>
      <c r="H85" s="137">
        <f t="shared" si="9"/>
        <v>5.8592074134908865E-3</v>
      </c>
      <c r="I85" s="137">
        <f t="shared" si="9"/>
        <v>6.3978357035791317E-3</v>
      </c>
      <c r="J85" s="137">
        <f t="shared" si="9"/>
        <v>0.13551051051051052</v>
      </c>
      <c r="K85" s="137">
        <f t="shared" si="9"/>
        <v>1.2455345241268996E-2</v>
      </c>
      <c r="L85" s="138">
        <f>AVERAGE(C85:K85)</f>
        <v>3.3527621897914174E-2</v>
      </c>
    </row>
    <row r="86" spans="1:12">
      <c r="A86" s="17" t="s">
        <v>296</v>
      </c>
      <c r="B86" s="17">
        <v>2013</v>
      </c>
      <c r="C86" s="17">
        <v>2014</v>
      </c>
      <c r="D86" s="17">
        <f t="shared" ref="D86:K86" si="10">C86+1</f>
        <v>2015</v>
      </c>
      <c r="E86" s="17">
        <f t="shared" si="10"/>
        <v>2016</v>
      </c>
      <c r="F86" s="17">
        <f t="shared" si="10"/>
        <v>2017</v>
      </c>
      <c r="G86" s="17">
        <f t="shared" si="10"/>
        <v>2018</v>
      </c>
      <c r="H86" s="17">
        <f t="shared" si="10"/>
        <v>2019</v>
      </c>
      <c r="I86" s="17">
        <f t="shared" si="10"/>
        <v>2020</v>
      </c>
      <c r="J86" s="17">
        <f t="shared" si="10"/>
        <v>2021</v>
      </c>
      <c r="K86" s="17">
        <f t="shared" si="10"/>
        <v>2022</v>
      </c>
    </row>
    <row r="87" spans="1:12" ht="14">
      <c r="A87" s="117" t="s">
        <v>0</v>
      </c>
      <c r="B87" s="118" t="s">
        <v>10</v>
      </c>
      <c r="C87" s="118" t="s">
        <v>9</v>
      </c>
      <c r="D87" s="118" t="s">
        <v>8</v>
      </c>
      <c r="E87" s="118" t="s">
        <v>7</v>
      </c>
      <c r="F87" s="118" t="s">
        <v>6</v>
      </c>
      <c r="G87" s="118" t="s">
        <v>5</v>
      </c>
      <c r="H87" s="118" t="s">
        <v>4</v>
      </c>
      <c r="I87" s="139">
        <v>43833</v>
      </c>
      <c r="J87" s="139">
        <v>44198</v>
      </c>
      <c r="K87" s="139">
        <v>44562</v>
      </c>
      <c r="L87" s="117"/>
    </row>
    <row r="88" spans="1:12" ht="14">
      <c r="A88" s="117" t="s">
        <v>13</v>
      </c>
      <c r="B88" s="118" t="s">
        <v>306</v>
      </c>
      <c r="C88" s="118" t="s">
        <v>306</v>
      </c>
      <c r="D88" s="118" t="s">
        <v>306</v>
      </c>
      <c r="E88" s="118" t="s">
        <v>306</v>
      </c>
      <c r="F88" s="118" t="s">
        <v>306</v>
      </c>
      <c r="G88" s="118" t="s">
        <v>306</v>
      </c>
      <c r="H88" s="118" t="s">
        <v>306</v>
      </c>
      <c r="I88" s="118" t="s">
        <v>306</v>
      </c>
      <c r="J88" s="118" t="s">
        <v>306</v>
      </c>
      <c r="K88" s="118" t="s">
        <v>306</v>
      </c>
      <c r="L88" s="117"/>
    </row>
    <row r="89" spans="1:12">
      <c r="A89" s="117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7"/>
    </row>
    <row r="90" spans="1:12">
      <c r="A90" s="119" t="s">
        <v>15</v>
      </c>
      <c r="B90" s="120">
        <f>B18*$B$80</f>
        <v>71312000</v>
      </c>
      <c r="C90" s="120">
        <f t="shared" ref="B90:K96" si="11">C18*$B$80</f>
        <v>74331000</v>
      </c>
      <c r="D90" s="120">
        <f t="shared" si="11"/>
        <v>70074000</v>
      </c>
      <c r="E90" s="120">
        <f t="shared" si="11"/>
        <v>71890000</v>
      </c>
      <c r="F90" s="120">
        <f t="shared" si="11"/>
        <v>76450000</v>
      </c>
      <c r="G90" s="120">
        <f t="shared" si="11"/>
        <v>81581000</v>
      </c>
      <c r="H90" s="120">
        <f t="shared" si="11"/>
        <v>82059000</v>
      </c>
      <c r="I90" s="120">
        <f t="shared" si="11"/>
        <v>82584000</v>
      </c>
      <c r="J90" s="120">
        <f t="shared" si="11"/>
        <v>93775000</v>
      </c>
      <c r="K90" s="120">
        <f t="shared" si="11"/>
        <v>94943000</v>
      </c>
      <c r="L90" s="119"/>
    </row>
    <row r="91" spans="1:12" s="69" customFormat="1">
      <c r="A91" s="121" t="s">
        <v>16</v>
      </c>
      <c r="B91" s="122">
        <f t="shared" si="11"/>
        <v>71312000</v>
      </c>
      <c r="C91" s="122">
        <f t="shared" si="11"/>
        <v>74331000</v>
      </c>
      <c r="D91" s="122">
        <f t="shared" si="11"/>
        <v>70074000</v>
      </c>
      <c r="E91" s="122">
        <f t="shared" si="11"/>
        <v>71890000</v>
      </c>
      <c r="F91" s="122">
        <f t="shared" si="11"/>
        <v>76450000</v>
      </c>
      <c r="G91" s="122">
        <f t="shared" si="11"/>
        <v>81581000</v>
      </c>
      <c r="H91" s="122">
        <f t="shared" si="11"/>
        <v>82059000</v>
      </c>
      <c r="I91" s="122">
        <f t="shared" si="11"/>
        <v>82584000</v>
      </c>
      <c r="J91" s="122">
        <f t="shared" si="11"/>
        <v>93775000</v>
      </c>
      <c r="K91" s="122">
        <f t="shared" si="11"/>
        <v>94943000</v>
      </c>
      <c r="L91" s="121">
        <v>94943000</v>
      </c>
    </row>
    <row r="92" spans="1:12">
      <c r="A92" s="119" t="s">
        <v>297</v>
      </c>
      <c r="B92" s="120">
        <f t="shared" si="11"/>
        <v>22342000</v>
      </c>
      <c r="C92" s="120">
        <f t="shared" si="11"/>
        <v>22746000</v>
      </c>
      <c r="D92" s="120">
        <f t="shared" si="11"/>
        <v>21536000</v>
      </c>
      <c r="E92" s="120">
        <f t="shared" si="11"/>
        <v>21685000</v>
      </c>
      <c r="F92" s="120">
        <f t="shared" si="11"/>
        <v>25354000</v>
      </c>
      <c r="G92" s="120">
        <f t="shared" si="11"/>
        <v>27091000</v>
      </c>
      <c r="H92" s="120">
        <f t="shared" si="11"/>
        <v>27556000</v>
      </c>
      <c r="I92" s="120">
        <f t="shared" si="11"/>
        <v>28427000</v>
      </c>
      <c r="J92" s="120">
        <f t="shared" si="11"/>
        <v>29855000</v>
      </c>
      <c r="K92" s="120">
        <f t="shared" si="11"/>
        <v>31089000</v>
      </c>
      <c r="L92" s="119"/>
    </row>
    <row r="93" spans="1:12" s="69" customFormat="1">
      <c r="A93" s="121" t="s">
        <v>18</v>
      </c>
      <c r="B93" s="122">
        <f t="shared" si="11"/>
        <v>48970000</v>
      </c>
      <c r="C93" s="122">
        <f t="shared" si="11"/>
        <v>51585000</v>
      </c>
      <c r="D93" s="122">
        <f t="shared" si="11"/>
        <v>48538000</v>
      </c>
      <c r="E93" s="122">
        <f t="shared" si="11"/>
        <v>50205000</v>
      </c>
      <c r="F93" s="122">
        <f t="shared" si="11"/>
        <v>51096000</v>
      </c>
      <c r="G93" s="122">
        <f t="shared" si="11"/>
        <v>54490000</v>
      </c>
      <c r="H93" s="122">
        <f t="shared" si="11"/>
        <v>54503000</v>
      </c>
      <c r="I93" s="122">
        <f t="shared" si="11"/>
        <v>54157000</v>
      </c>
      <c r="J93" s="122">
        <f t="shared" si="11"/>
        <v>63920000</v>
      </c>
      <c r="K93" s="122">
        <f t="shared" si="11"/>
        <v>63854000</v>
      </c>
      <c r="L93" s="121"/>
    </row>
    <row r="94" spans="1:12">
      <c r="A94" s="119" t="s">
        <v>19</v>
      </c>
      <c r="B94" s="120">
        <f t="shared" si="11"/>
        <v>21830000</v>
      </c>
      <c r="C94" s="120">
        <f t="shared" si="11"/>
        <v>21954000</v>
      </c>
      <c r="D94" s="120">
        <f t="shared" si="11"/>
        <v>21203000</v>
      </c>
      <c r="E94" s="120">
        <f t="shared" si="11"/>
        <v>19945000</v>
      </c>
      <c r="F94" s="120">
        <f t="shared" si="11"/>
        <v>21420000</v>
      </c>
      <c r="G94" s="120">
        <f t="shared" si="11"/>
        <v>22540000</v>
      </c>
      <c r="H94" s="120">
        <f t="shared" si="11"/>
        <v>22178000</v>
      </c>
      <c r="I94" s="120">
        <f t="shared" si="11"/>
        <v>22084000</v>
      </c>
      <c r="J94" s="120">
        <f t="shared" si="11"/>
        <v>24659000</v>
      </c>
      <c r="K94" s="120">
        <f t="shared" si="11"/>
        <v>24765000</v>
      </c>
      <c r="L94" s="119"/>
    </row>
    <row r="95" spans="1:12">
      <c r="A95" s="119" t="s">
        <v>20</v>
      </c>
      <c r="B95" s="120">
        <f t="shared" si="11"/>
        <v>8763000</v>
      </c>
      <c r="C95" s="120">
        <f t="shared" si="11"/>
        <v>8672000</v>
      </c>
      <c r="D95" s="120">
        <f t="shared" si="11"/>
        <v>9270000</v>
      </c>
      <c r="E95" s="120">
        <f t="shared" si="11"/>
        <v>9124000</v>
      </c>
      <c r="F95" s="120">
        <f t="shared" si="11"/>
        <v>10962000</v>
      </c>
      <c r="G95" s="120">
        <f t="shared" si="11"/>
        <v>11901000</v>
      </c>
      <c r="H95" s="120">
        <f t="shared" si="11"/>
        <v>12245000</v>
      </c>
      <c r="I95" s="120">
        <f t="shared" si="11"/>
        <v>12340000</v>
      </c>
      <c r="J95" s="120">
        <f t="shared" si="11"/>
        <v>15614000</v>
      </c>
      <c r="K95" s="120">
        <f t="shared" si="11"/>
        <v>15386000</v>
      </c>
      <c r="L95" s="119"/>
    </row>
    <row r="96" spans="1:12">
      <c r="A96" s="119" t="s">
        <v>21</v>
      </c>
      <c r="B96" s="123" t="s">
        <v>22</v>
      </c>
      <c r="C96" s="123" t="s">
        <v>22</v>
      </c>
      <c r="D96" s="120">
        <f t="shared" si="11"/>
        <v>509000</v>
      </c>
      <c r="E96" s="120">
        <f t="shared" si="11"/>
        <v>491000</v>
      </c>
      <c r="F96" s="120">
        <f t="shared" si="11"/>
        <v>309000</v>
      </c>
      <c r="G96" s="120">
        <f t="shared" si="11"/>
        <v>251000</v>
      </c>
      <c r="H96" s="120">
        <f t="shared" si="11"/>
        <v>266000</v>
      </c>
      <c r="I96" s="120">
        <f t="shared" si="11"/>
        <v>247000</v>
      </c>
      <c r="J96" s="120">
        <f t="shared" si="11"/>
        <v>252000</v>
      </c>
      <c r="K96" s="120">
        <f t="shared" si="11"/>
        <v>321000</v>
      </c>
      <c r="L96" s="119"/>
    </row>
    <row r="97" spans="1:12">
      <c r="A97" s="119" t="s">
        <v>23</v>
      </c>
      <c r="B97" s="120">
        <f t="shared" ref="B97:K107" si="12">B25*$B$80</f>
        <v>0</v>
      </c>
      <c r="C97" s="120">
        <f t="shared" si="12"/>
        <v>0</v>
      </c>
      <c r="D97" s="120">
        <f t="shared" si="12"/>
        <v>0</v>
      </c>
      <c r="E97" s="120">
        <f t="shared" si="12"/>
        <v>0</v>
      </c>
      <c r="F97" s="120">
        <f t="shared" si="12"/>
        <v>0</v>
      </c>
      <c r="G97" s="120">
        <f t="shared" si="12"/>
        <v>0</v>
      </c>
      <c r="H97" s="120">
        <f t="shared" si="12"/>
        <v>0</v>
      </c>
      <c r="I97" s="120">
        <f t="shared" si="12"/>
        <v>0</v>
      </c>
      <c r="J97" s="120">
        <f t="shared" si="12"/>
        <v>0</v>
      </c>
      <c r="K97" s="120">
        <f t="shared" si="12"/>
        <v>0</v>
      </c>
      <c r="L97" s="119"/>
    </row>
    <row r="98" spans="1:12">
      <c r="A98" s="119" t="s">
        <v>24</v>
      </c>
      <c r="B98" s="120">
        <f t="shared" si="12"/>
        <v>30593000</v>
      </c>
      <c r="C98" s="120">
        <f t="shared" si="12"/>
        <v>30626000</v>
      </c>
      <c r="D98" s="120">
        <f t="shared" si="12"/>
        <v>30982000</v>
      </c>
      <c r="E98" s="120">
        <f t="shared" si="12"/>
        <v>29560000</v>
      </c>
      <c r="F98" s="120">
        <f t="shared" si="12"/>
        <v>32691000</v>
      </c>
      <c r="G98" s="120">
        <f t="shared" si="12"/>
        <v>34692000</v>
      </c>
      <c r="H98" s="120">
        <f t="shared" si="12"/>
        <v>34689000</v>
      </c>
      <c r="I98" s="120">
        <f t="shared" si="12"/>
        <v>34671000</v>
      </c>
      <c r="J98" s="120">
        <f t="shared" si="12"/>
        <v>40525000</v>
      </c>
      <c r="K98" s="120">
        <f t="shared" si="12"/>
        <v>40472000</v>
      </c>
      <c r="L98" s="119"/>
    </row>
    <row r="99" spans="1:12">
      <c r="A99" s="119" t="s">
        <v>25</v>
      </c>
      <c r="B99" s="120">
        <f t="shared" si="12"/>
        <v>18377000</v>
      </c>
      <c r="C99" s="120">
        <f t="shared" si="12"/>
        <v>20959000</v>
      </c>
      <c r="D99" s="120">
        <f t="shared" si="12"/>
        <v>17556000</v>
      </c>
      <c r="E99" s="120">
        <f t="shared" si="12"/>
        <v>20645000</v>
      </c>
      <c r="F99" s="120">
        <f t="shared" si="12"/>
        <v>18405000</v>
      </c>
      <c r="G99" s="120">
        <f t="shared" si="12"/>
        <v>19798000</v>
      </c>
      <c r="H99" s="120">
        <f t="shared" si="12"/>
        <v>19814000</v>
      </c>
      <c r="I99" s="120">
        <f t="shared" si="12"/>
        <v>19486000</v>
      </c>
      <c r="J99" s="120">
        <f t="shared" si="12"/>
        <v>23395000</v>
      </c>
      <c r="K99" s="120">
        <f t="shared" si="12"/>
        <v>23382000</v>
      </c>
      <c r="L99" s="119"/>
    </row>
    <row r="100" spans="1:12">
      <c r="A100" s="124" t="s">
        <v>26</v>
      </c>
      <c r="B100" s="120">
        <f t="shared" si="12"/>
        <v>-408000</v>
      </c>
      <c r="C100" s="120">
        <f t="shared" si="12"/>
        <v>-466000</v>
      </c>
      <c r="D100" s="120">
        <f t="shared" si="12"/>
        <v>-424000</v>
      </c>
      <c r="E100" s="120">
        <f t="shared" si="12"/>
        <v>-358000</v>
      </c>
      <c r="F100" s="120">
        <f t="shared" si="12"/>
        <v>-549000</v>
      </c>
      <c r="G100" s="120">
        <f t="shared" si="12"/>
        <v>-394000</v>
      </c>
      <c r="H100" s="120">
        <f t="shared" si="12"/>
        <v>39000</v>
      </c>
      <c r="I100" s="120">
        <f t="shared" si="12"/>
        <v>-90000</v>
      </c>
      <c r="J100" s="120">
        <f t="shared" si="12"/>
        <v>-130000</v>
      </c>
      <c r="K100" s="120">
        <f t="shared" si="12"/>
        <v>214000</v>
      </c>
      <c r="L100" s="119"/>
    </row>
    <row r="101" spans="1:12">
      <c r="A101" s="119" t="s">
        <v>27</v>
      </c>
      <c r="B101" s="120">
        <f t="shared" si="12"/>
        <v>-2498000</v>
      </c>
      <c r="C101" s="120">
        <f t="shared" si="12"/>
        <v>70000</v>
      </c>
      <c r="D101" s="120">
        <f t="shared" si="12"/>
        <v>2064000</v>
      </c>
      <c r="E101" s="120">
        <f t="shared" si="12"/>
        <v>-484000</v>
      </c>
      <c r="F101" s="120">
        <f t="shared" si="12"/>
        <v>-183000</v>
      </c>
      <c r="G101" s="120">
        <f t="shared" si="12"/>
        <v>-1405000</v>
      </c>
      <c r="H101" s="120">
        <f t="shared" si="12"/>
        <v>-2525000</v>
      </c>
      <c r="I101" s="120">
        <f t="shared" si="12"/>
        <v>-2899000</v>
      </c>
      <c r="J101" s="120">
        <f t="shared" si="12"/>
        <v>-489000</v>
      </c>
      <c r="K101" s="120">
        <f t="shared" si="12"/>
        <v>-1871000</v>
      </c>
      <c r="L101" s="119"/>
    </row>
    <row r="102" spans="1:12">
      <c r="A102" s="119" t="s">
        <v>28</v>
      </c>
      <c r="B102" s="120">
        <f t="shared" si="12"/>
        <v>-2906000</v>
      </c>
      <c r="C102" s="120">
        <f t="shared" si="12"/>
        <v>-396000</v>
      </c>
      <c r="D102" s="120">
        <f t="shared" si="12"/>
        <v>1640000</v>
      </c>
      <c r="E102" s="120">
        <f t="shared" si="12"/>
        <v>-842000</v>
      </c>
      <c r="F102" s="120">
        <f t="shared" si="12"/>
        <v>-732000</v>
      </c>
      <c r="G102" s="120">
        <f t="shared" si="12"/>
        <v>-1799000</v>
      </c>
      <c r="H102" s="120">
        <f t="shared" si="12"/>
        <v>-2486000</v>
      </c>
      <c r="I102" s="120">
        <f t="shared" si="12"/>
        <v>-2989000</v>
      </c>
      <c r="J102" s="120">
        <f t="shared" si="12"/>
        <v>-619000</v>
      </c>
      <c r="K102" s="120">
        <f t="shared" si="12"/>
        <v>-1657000</v>
      </c>
      <c r="L102" s="119"/>
    </row>
    <row r="103" spans="1:12">
      <c r="A103" s="119" t="s">
        <v>29</v>
      </c>
      <c r="B103" s="120">
        <f t="shared" si="12"/>
        <v>15471000</v>
      </c>
      <c r="C103" s="120">
        <f t="shared" si="12"/>
        <v>20563000</v>
      </c>
      <c r="D103" s="120">
        <f t="shared" si="12"/>
        <v>19196000</v>
      </c>
      <c r="E103" s="120">
        <f t="shared" si="12"/>
        <v>19803000</v>
      </c>
      <c r="F103" s="120">
        <f t="shared" si="12"/>
        <v>17673000</v>
      </c>
      <c r="G103" s="120">
        <f t="shared" si="12"/>
        <v>17999000</v>
      </c>
      <c r="H103" s="120">
        <f t="shared" si="12"/>
        <v>17328000</v>
      </c>
      <c r="I103" s="120">
        <f t="shared" si="12"/>
        <v>16497000</v>
      </c>
      <c r="J103" s="120">
        <f t="shared" si="12"/>
        <v>22776000</v>
      </c>
      <c r="K103" s="120">
        <f t="shared" si="12"/>
        <v>21725000</v>
      </c>
      <c r="L103" s="119"/>
    </row>
    <row r="104" spans="1:12">
      <c r="A104" s="119" t="s">
        <v>30</v>
      </c>
      <c r="B104" s="120">
        <f t="shared" si="12"/>
        <v>1640000</v>
      </c>
      <c r="C104" s="120">
        <f t="shared" si="12"/>
        <v>4240000</v>
      </c>
      <c r="D104" s="120">
        <f t="shared" si="12"/>
        <v>3787000</v>
      </c>
      <c r="E104" s="120">
        <f t="shared" si="12"/>
        <v>3263000</v>
      </c>
      <c r="F104" s="120">
        <f t="shared" si="12"/>
        <v>16373000</v>
      </c>
      <c r="G104" s="120">
        <f t="shared" si="12"/>
        <v>2702000</v>
      </c>
      <c r="H104" s="120">
        <f t="shared" si="12"/>
        <v>2209000</v>
      </c>
      <c r="I104" s="120">
        <f t="shared" si="12"/>
        <v>1783000</v>
      </c>
      <c r="J104" s="120">
        <f t="shared" si="12"/>
        <v>1898000</v>
      </c>
      <c r="K104" s="120">
        <f t="shared" si="12"/>
        <v>3784000</v>
      </c>
      <c r="L104" s="119"/>
    </row>
    <row r="105" spans="1:12">
      <c r="A105" s="119" t="s">
        <v>31</v>
      </c>
      <c r="B105" s="120">
        <f t="shared" si="12"/>
        <v>0</v>
      </c>
      <c r="C105" s="120">
        <f t="shared" si="12"/>
        <v>0</v>
      </c>
      <c r="D105" s="120">
        <f t="shared" si="12"/>
        <v>0</v>
      </c>
      <c r="E105" s="120">
        <f t="shared" si="12"/>
        <v>0</v>
      </c>
      <c r="F105" s="120">
        <f t="shared" si="12"/>
        <v>0</v>
      </c>
      <c r="G105" s="120">
        <f t="shared" si="12"/>
        <v>0</v>
      </c>
      <c r="H105" s="120">
        <f t="shared" si="12"/>
        <v>0</v>
      </c>
      <c r="I105" s="120">
        <f t="shared" si="12"/>
        <v>0</v>
      </c>
      <c r="J105" s="120">
        <f t="shared" si="12"/>
        <v>0</v>
      </c>
      <c r="K105" s="120">
        <f t="shared" si="12"/>
        <v>0</v>
      </c>
      <c r="L105" s="119"/>
    </row>
    <row r="106" spans="1:12">
      <c r="A106" s="119" t="s">
        <v>32</v>
      </c>
      <c r="B106" s="120">
        <f t="shared" si="12"/>
        <v>0</v>
      </c>
      <c r="C106" s="120">
        <f t="shared" si="12"/>
        <v>0</v>
      </c>
      <c r="D106" s="120">
        <f t="shared" si="12"/>
        <v>0</v>
      </c>
      <c r="E106" s="120">
        <f t="shared" si="12"/>
        <v>0</v>
      </c>
      <c r="F106" s="120">
        <f t="shared" si="12"/>
        <v>0</v>
      </c>
      <c r="G106" s="120">
        <f t="shared" si="12"/>
        <v>0</v>
      </c>
      <c r="H106" s="120">
        <f t="shared" si="12"/>
        <v>0</v>
      </c>
      <c r="I106" s="120">
        <f t="shared" si="12"/>
        <v>0</v>
      </c>
      <c r="J106" s="120">
        <f t="shared" si="12"/>
        <v>0</v>
      </c>
      <c r="K106" s="120">
        <f t="shared" si="12"/>
        <v>0</v>
      </c>
      <c r="L106" s="119"/>
    </row>
    <row r="107" spans="1:12" s="69" customFormat="1">
      <c r="A107" s="121" t="s">
        <v>33</v>
      </c>
      <c r="B107" s="122">
        <f t="shared" si="12"/>
        <v>13831000</v>
      </c>
      <c r="C107" s="122">
        <f t="shared" si="12"/>
        <v>16323000</v>
      </c>
      <c r="D107" s="122">
        <f t="shared" si="12"/>
        <v>15409000</v>
      </c>
      <c r="E107" s="122">
        <f t="shared" si="12"/>
        <v>16540000</v>
      </c>
      <c r="F107" s="122">
        <f t="shared" si="12"/>
        <v>1300000</v>
      </c>
      <c r="G107" s="122">
        <f t="shared" si="12"/>
        <v>15297000</v>
      </c>
      <c r="H107" s="122">
        <f t="shared" si="12"/>
        <v>15119000</v>
      </c>
      <c r="I107" s="122">
        <f t="shared" si="12"/>
        <v>14714000</v>
      </c>
      <c r="J107" s="122">
        <f t="shared" si="12"/>
        <v>20878000</v>
      </c>
      <c r="K107" s="122">
        <f t="shared" si="12"/>
        <v>17941000</v>
      </c>
      <c r="L107" s="121"/>
    </row>
    <row r="108" spans="1:12">
      <c r="A108" s="119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19"/>
    </row>
    <row r="109" spans="1:12">
      <c r="A109" s="119" t="s">
        <v>34</v>
      </c>
      <c r="B109" s="120">
        <f t="shared" ref="B109:K118" si="13">B37*$B$80</f>
        <v>0</v>
      </c>
      <c r="C109" s="120">
        <f t="shared" si="13"/>
        <v>0</v>
      </c>
      <c r="D109" s="120">
        <f t="shared" si="13"/>
        <v>0</v>
      </c>
      <c r="E109" s="120">
        <f t="shared" si="13"/>
        <v>0</v>
      </c>
      <c r="F109" s="120">
        <f t="shared" si="13"/>
        <v>0</v>
      </c>
      <c r="G109" s="120">
        <f t="shared" si="13"/>
        <v>0</v>
      </c>
      <c r="H109" s="120">
        <f t="shared" si="13"/>
        <v>0</v>
      </c>
      <c r="I109" s="120">
        <f t="shared" si="13"/>
        <v>0</v>
      </c>
      <c r="J109" s="120">
        <f t="shared" si="13"/>
        <v>0</v>
      </c>
      <c r="K109" s="120">
        <f t="shared" si="13"/>
        <v>0</v>
      </c>
      <c r="L109" s="119"/>
    </row>
    <row r="110" spans="1:12">
      <c r="A110" s="119" t="s">
        <v>35</v>
      </c>
      <c r="B110" s="120">
        <f t="shared" si="13"/>
        <v>13831000</v>
      </c>
      <c r="C110" s="120">
        <f t="shared" si="13"/>
        <v>16323000</v>
      </c>
      <c r="D110" s="120">
        <f t="shared" si="13"/>
        <v>15409000</v>
      </c>
      <c r="E110" s="120">
        <f t="shared" si="13"/>
        <v>16540000</v>
      </c>
      <c r="F110" s="120">
        <f t="shared" si="13"/>
        <v>1300000</v>
      </c>
      <c r="G110" s="120">
        <f t="shared" si="13"/>
        <v>15297000</v>
      </c>
      <c r="H110" s="120">
        <f t="shared" si="13"/>
        <v>15119000</v>
      </c>
      <c r="I110" s="120">
        <f t="shared" si="13"/>
        <v>14714000</v>
      </c>
      <c r="J110" s="120">
        <f t="shared" si="13"/>
        <v>20878000</v>
      </c>
      <c r="K110" s="120">
        <f t="shared" si="13"/>
        <v>17941000</v>
      </c>
      <c r="L110" s="119"/>
    </row>
    <row r="111" spans="1:12">
      <c r="A111" s="119" t="s">
        <v>36</v>
      </c>
      <c r="B111" s="120">
        <f t="shared" si="13"/>
        <v>2809200</v>
      </c>
      <c r="C111" s="120">
        <f t="shared" si="13"/>
        <v>2815200</v>
      </c>
      <c r="D111" s="120">
        <f t="shared" si="13"/>
        <v>2771800</v>
      </c>
      <c r="E111" s="120">
        <f t="shared" si="13"/>
        <v>2737300</v>
      </c>
      <c r="F111" s="120">
        <f t="shared" si="13"/>
        <v>2692000</v>
      </c>
      <c r="G111" s="120">
        <f t="shared" si="13"/>
        <v>2681500</v>
      </c>
      <c r="H111" s="120">
        <f t="shared" si="13"/>
        <v>2645100</v>
      </c>
      <c r="I111" s="120">
        <f t="shared" si="13"/>
        <v>2632800</v>
      </c>
      <c r="J111" s="120">
        <f t="shared" si="13"/>
        <v>2632100</v>
      </c>
      <c r="K111" s="120">
        <f t="shared" si="13"/>
        <v>2625200</v>
      </c>
      <c r="L111" s="119"/>
    </row>
    <row r="112" spans="1:12">
      <c r="A112" s="119" t="s">
        <v>37</v>
      </c>
      <c r="B112" s="120">
        <f t="shared" si="13"/>
        <v>4920</v>
      </c>
      <c r="C112" s="120">
        <f t="shared" si="13"/>
        <v>5800</v>
      </c>
      <c r="D112" s="120">
        <f t="shared" si="13"/>
        <v>5560</v>
      </c>
      <c r="E112" s="120">
        <f t="shared" si="13"/>
        <v>6040</v>
      </c>
      <c r="F112" s="120">
        <f t="shared" si="13"/>
        <v>480</v>
      </c>
      <c r="G112" s="120">
        <f t="shared" si="13"/>
        <v>5700</v>
      </c>
      <c r="H112" s="120">
        <f t="shared" si="13"/>
        <v>5720</v>
      </c>
      <c r="I112" s="120">
        <f t="shared" si="13"/>
        <v>5590</v>
      </c>
      <c r="J112" s="120">
        <f t="shared" si="13"/>
        <v>7930</v>
      </c>
      <c r="K112" s="120">
        <f t="shared" si="13"/>
        <v>6830</v>
      </c>
      <c r="L112" s="119"/>
    </row>
    <row r="113" spans="1:12">
      <c r="A113" s="119" t="s">
        <v>38</v>
      </c>
      <c r="B113" s="120">
        <f t="shared" si="13"/>
        <v>4920</v>
      </c>
      <c r="C113" s="120">
        <f t="shared" si="13"/>
        <v>5800</v>
      </c>
      <c r="D113" s="120">
        <f t="shared" si="13"/>
        <v>5560</v>
      </c>
      <c r="E113" s="120">
        <f t="shared" si="13"/>
        <v>6040</v>
      </c>
      <c r="F113" s="120">
        <f t="shared" si="13"/>
        <v>480</v>
      </c>
      <c r="G113" s="120">
        <f t="shared" si="13"/>
        <v>5700</v>
      </c>
      <c r="H113" s="120">
        <f t="shared" si="13"/>
        <v>5720</v>
      </c>
      <c r="I113" s="120">
        <f t="shared" si="13"/>
        <v>5590</v>
      </c>
      <c r="J113" s="120">
        <f t="shared" si="13"/>
        <v>7930</v>
      </c>
      <c r="K113" s="120">
        <f t="shared" si="13"/>
        <v>6830</v>
      </c>
      <c r="L113" s="119"/>
    </row>
    <row r="114" spans="1:12">
      <c r="A114" s="119" t="s">
        <v>39</v>
      </c>
      <c r="B114" s="120">
        <f t="shared" si="13"/>
        <v>2877000</v>
      </c>
      <c r="C114" s="120">
        <f t="shared" si="13"/>
        <v>2863900</v>
      </c>
      <c r="D114" s="120">
        <f t="shared" si="13"/>
        <v>2812900</v>
      </c>
      <c r="E114" s="120">
        <f t="shared" si="13"/>
        <v>2788900</v>
      </c>
      <c r="F114" s="120">
        <f t="shared" si="13"/>
        <v>2745300</v>
      </c>
      <c r="G114" s="120">
        <f t="shared" si="13"/>
        <v>2728700</v>
      </c>
      <c r="H114" s="120">
        <f t="shared" si="13"/>
        <v>2684300</v>
      </c>
      <c r="I114" s="120">
        <f t="shared" si="13"/>
        <v>2670700</v>
      </c>
      <c r="J114" s="120">
        <f t="shared" si="13"/>
        <v>2674000</v>
      </c>
      <c r="K114" s="120">
        <f t="shared" si="13"/>
        <v>2663900</v>
      </c>
      <c r="L114" s="119"/>
    </row>
    <row r="115" spans="1:12">
      <c r="A115" s="119" t="s">
        <v>40</v>
      </c>
      <c r="B115" s="120">
        <f t="shared" si="13"/>
        <v>4810</v>
      </c>
      <c r="C115" s="120">
        <f t="shared" si="13"/>
        <v>5700</v>
      </c>
      <c r="D115" s="120">
        <f t="shared" si="13"/>
        <v>5480</v>
      </c>
      <c r="E115" s="120">
        <f t="shared" si="13"/>
        <v>5930</v>
      </c>
      <c r="F115" s="120">
        <f t="shared" si="13"/>
        <v>470</v>
      </c>
      <c r="G115" s="120">
        <f t="shared" si="13"/>
        <v>5610</v>
      </c>
      <c r="H115" s="120">
        <f t="shared" si="13"/>
        <v>5630</v>
      </c>
      <c r="I115" s="120">
        <f t="shared" si="13"/>
        <v>5510</v>
      </c>
      <c r="J115" s="120">
        <f t="shared" si="13"/>
        <v>7810</v>
      </c>
      <c r="K115" s="120">
        <f t="shared" si="13"/>
        <v>6730</v>
      </c>
      <c r="L115" s="119"/>
    </row>
    <row r="116" spans="1:12">
      <c r="A116" s="119" t="s">
        <v>41</v>
      </c>
      <c r="B116" s="120">
        <f t="shared" si="13"/>
        <v>4810</v>
      </c>
      <c r="C116" s="120">
        <f t="shared" si="13"/>
        <v>5700</v>
      </c>
      <c r="D116" s="120">
        <f t="shared" si="13"/>
        <v>5480</v>
      </c>
      <c r="E116" s="120">
        <f t="shared" si="13"/>
        <v>5930</v>
      </c>
      <c r="F116" s="120">
        <f t="shared" si="13"/>
        <v>470</v>
      </c>
      <c r="G116" s="120">
        <f t="shared" si="13"/>
        <v>5610</v>
      </c>
      <c r="H116" s="120">
        <f t="shared" si="13"/>
        <v>5630</v>
      </c>
      <c r="I116" s="120">
        <f t="shared" si="13"/>
        <v>5510</v>
      </c>
      <c r="J116" s="120">
        <f t="shared" si="13"/>
        <v>7810</v>
      </c>
      <c r="K116" s="120">
        <f t="shared" si="13"/>
        <v>6730</v>
      </c>
      <c r="L116" s="119"/>
    </row>
    <row r="117" spans="1:12" s="69" customFormat="1">
      <c r="A117" s="121" t="s">
        <v>42</v>
      </c>
      <c r="B117" s="122">
        <f t="shared" si="13"/>
        <v>2820628</v>
      </c>
      <c r="C117" s="122">
        <f t="shared" si="13"/>
        <v>2783223</v>
      </c>
      <c r="D117" s="122">
        <f t="shared" si="13"/>
        <v>2755162</v>
      </c>
      <c r="E117" s="122">
        <f t="shared" si="13"/>
        <v>2706511</v>
      </c>
      <c r="F117" s="122">
        <f t="shared" si="13"/>
        <v>2682525</v>
      </c>
      <c r="G117" s="122">
        <f t="shared" si="13"/>
        <v>2662324</v>
      </c>
      <c r="H117" s="122">
        <f t="shared" si="13"/>
        <v>2632507</v>
      </c>
      <c r="I117" s="122">
        <f t="shared" si="13"/>
        <v>2632512</v>
      </c>
      <c r="J117" s="122">
        <f t="shared" si="13"/>
        <v>2628965</v>
      </c>
      <c r="K117" s="122">
        <f t="shared" si="13"/>
        <v>2613597</v>
      </c>
      <c r="L117" s="140">
        <f>165.835317*K117</f>
        <v>433426687.00524902</v>
      </c>
    </row>
    <row r="118" spans="1:12">
      <c r="B118" s="120"/>
      <c r="C118" s="120"/>
      <c r="D118" s="120">
        <f t="shared" si="13"/>
        <v>0</v>
      </c>
      <c r="E118" s="120">
        <f t="shared" si="13"/>
        <v>0</v>
      </c>
      <c r="F118" s="120">
        <f t="shared" si="13"/>
        <v>0</v>
      </c>
      <c r="G118" s="120">
        <f t="shared" si="13"/>
        <v>0</v>
      </c>
      <c r="H118" s="120">
        <f t="shared" si="13"/>
        <v>0</v>
      </c>
      <c r="I118" s="120">
        <f t="shared" si="13"/>
        <v>0</v>
      </c>
      <c r="J118" s="120">
        <f t="shared" si="13"/>
        <v>0</v>
      </c>
      <c r="K118" s="120">
        <f t="shared" si="13"/>
        <v>0</v>
      </c>
    </row>
    <row r="119" spans="1:12">
      <c r="A119" s="119" t="s">
        <v>298</v>
      </c>
      <c r="B119" s="120">
        <f>B47*$B$80</f>
        <v>11713000</v>
      </c>
      <c r="C119" s="120">
        <f t="shared" ref="C119:K119" si="14">C47*$B$80</f>
        <v>10985000</v>
      </c>
      <c r="D119" s="120">
        <f t="shared" si="14"/>
        <v>10734000</v>
      </c>
      <c r="E119" s="120">
        <f t="shared" si="14"/>
        <v>11699000</v>
      </c>
      <c r="F119" s="120">
        <f t="shared" si="14"/>
        <v>13490000</v>
      </c>
      <c r="G119" s="120">
        <f t="shared" si="14"/>
        <v>14098000</v>
      </c>
      <c r="H119" s="120">
        <f t="shared" si="14"/>
        <v>14481000</v>
      </c>
      <c r="I119" s="120">
        <f t="shared" si="14"/>
        <v>13576000</v>
      </c>
      <c r="J119" s="120">
        <f t="shared" si="14"/>
        <v>15283000</v>
      </c>
      <c r="K119" s="120">
        <f t="shared" si="14"/>
        <v>16160000</v>
      </c>
    </row>
    <row r="121" spans="1:12">
      <c r="A121" s="129" t="s">
        <v>299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</row>
    <row r="122" spans="1:12">
      <c r="A122" s="129" t="s">
        <v>102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</row>
    <row r="123" spans="1:12">
      <c r="A123" s="17" t="s">
        <v>94</v>
      </c>
      <c r="B123" s="131">
        <f>B92/'[1]Company_Balance sheet'!B73</f>
        <v>2.8359989845138358</v>
      </c>
      <c r="C123" s="131">
        <f>C92/'[1]Company_Balance sheet'!C73</f>
        <v>2.7793255131964809</v>
      </c>
      <c r="D123" s="131">
        <f>D92/'[1]Company_Balance sheet'!D73</f>
        <v>2.6742828759468522</v>
      </c>
      <c r="E123" s="131">
        <f>E92/'[1]Company_Balance sheet'!E73</f>
        <v>2.6626964636542239</v>
      </c>
      <c r="F123" s="131">
        <f>F92/'[1]Company_Balance sheet'!F73</f>
        <v>2.8926411865373645</v>
      </c>
      <c r="G123" s="131">
        <f>G92/'[1]Company_Balance sheet'!G73</f>
        <v>3.1504826142574718</v>
      </c>
      <c r="H123" s="131">
        <f>H92/'[1]Company_Balance sheet'!H73</f>
        <v>3.0549889135254991</v>
      </c>
      <c r="I123" s="131">
        <f>I92/'[1]Company_Balance sheet'!I73</f>
        <v>3.0422731164383561</v>
      </c>
      <c r="J123" s="131">
        <f>J92/'[1]Company_Balance sheet'!J73</f>
        <v>2.874265909309714</v>
      </c>
      <c r="K123" s="131">
        <f>K92/'[1]Company_Balance sheet'!K73</f>
        <v>2.490507089641913</v>
      </c>
    </row>
    <row r="124" spans="1:12">
      <c r="A124" s="17" t="s">
        <v>95</v>
      </c>
      <c r="B124" s="131">
        <f>365/B123</f>
        <v>128.70244382776835</v>
      </c>
      <c r="C124" s="131">
        <f t="shared" ref="C124:K124" si="15">365/C123</f>
        <v>131.32682669480349</v>
      </c>
      <c r="D124" s="131">
        <f t="shared" si="15"/>
        <v>136.48518759286776</v>
      </c>
      <c r="E124" s="131">
        <f t="shared" si="15"/>
        <v>137.07908692644685</v>
      </c>
      <c r="F124" s="131">
        <f t="shared" si="15"/>
        <v>126.18225920959217</v>
      </c>
      <c r="G124" s="131">
        <f t="shared" si="15"/>
        <v>115.85526558635709</v>
      </c>
      <c r="H124" s="131">
        <f t="shared" si="15"/>
        <v>119.47670198867759</v>
      </c>
      <c r="I124" s="131">
        <f t="shared" si="15"/>
        <v>119.97607907974813</v>
      </c>
      <c r="J124" s="131">
        <f t="shared" si="15"/>
        <v>126.98894657511305</v>
      </c>
      <c r="K124" s="131">
        <f t="shared" si="15"/>
        <v>146.55649908327703</v>
      </c>
    </row>
    <row r="125" spans="1:12">
      <c r="A125" s="17" t="s">
        <v>300</v>
      </c>
      <c r="B125" s="131">
        <f>B90/B119</f>
        <v>6.0882779817297017</v>
      </c>
      <c r="C125" s="131">
        <f t="shared" ref="C125:K125" si="16">C90/C119</f>
        <v>6.7665908056440598</v>
      </c>
      <c r="D125" s="131">
        <f t="shared" si="16"/>
        <v>6.5282280603689209</v>
      </c>
      <c r="E125" s="131">
        <f t="shared" si="16"/>
        <v>6.1449696555261131</v>
      </c>
      <c r="F125" s="131">
        <f t="shared" si="16"/>
        <v>5.6671608598962191</v>
      </c>
      <c r="G125" s="131">
        <f t="shared" si="16"/>
        <v>5.7867073343736699</v>
      </c>
      <c r="H125" s="131">
        <f t="shared" si="16"/>
        <v>5.666666666666667</v>
      </c>
      <c r="I125" s="131">
        <f t="shared" si="16"/>
        <v>6.0830878020035355</v>
      </c>
      <c r="J125" s="131">
        <f t="shared" si="16"/>
        <v>6.1359026369168355</v>
      </c>
      <c r="K125" s="131">
        <f t="shared" si="16"/>
        <v>5.8751856435643566</v>
      </c>
    </row>
    <row r="126" spans="1:12">
      <c r="A126" s="17" t="s">
        <v>97</v>
      </c>
      <c r="B126" s="131">
        <f>365/B125</f>
        <v>59.951270473412613</v>
      </c>
      <c r="C126" s="131">
        <f t="shared" ref="C126:K126" si="17">365/C125</f>
        <v>53.94149143695094</v>
      </c>
      <c r="D126" s="131">
        <f t="shared" si="17"/>
        <v>55.911036903844511</v>
      </c>
      <c r="E126" s="131">
        <f t="shared" si="17"/>
        <v>59.398177771595499</v>
      </c>
      <c r="F126" s="131">
        <f t="shared" si="17"/>
        <v>64.406147809025512</v>
      </c>
      <c r="G126" s="131">
        <f t="shared" si="17"/>
        <v>63.075593581838909</v>
      </c>
      <c r="H126" s="131">
        <f t="shared" si="17"/>
        <v>64.411764705882348</v>
      </c>
      <c r="I126" s="131">
        <f t="shared" si="17"/>
        <v>60.002421776615328</v>
      </c>
      <c r="J126" s="131">
        <f t="shared" si="17"/>
        <v>59.485950413223144</v>
      </c>
      <c r="K126" s="131">
        <f t="shared" si="17"/>
        <v>62.125696470513887</v>
      </c>
    </row>
    <row r="127" spans="1:12">
      <c r="A127" s="17" t="s">
        <v>101</v>
      </c>
      <c r="B127" s="131">
        <f>B55</f>
        <v>4.2676241771394379</v>
      </c>
      <c r="C127" s="131">
        <f t="shared" ref="C127:K127" si="18">C55</f>
        <v>4.6093885650502298</v>
      </c>
      <c r="D127" s="131">
        <f t="shared" si="18"/>
        <v>4.4057843445457401</v>
      </c>
      <c r="E127" s="131">
        <f t="shared" si="18"/>
        <v>4.5179738562091503</v>
      </c>
      <c r="F127" s="131">
        <f t="shared" si="18"/>
        <v>4.4957365480740963</v>
      </c>
      <c r="G127" s="131">
        <f t="shared" si="18"/>
        <v>4.7890226005283241</v>
      </c>
      <c r="H127" s="131">
        <f t="shared" si="18"/>
        <v>4.6471287801563035</v>
      </c>
      <c r="I127" s="131">
        <f t="shared" si="18"/>
        <v>4.4007247149099431</v>
      </c>
      <c r="J127" s="131">
        <f t="shared" si="18"/>
        <v>4.9454171500896527</v>
      </c>
      <c r="K127" s="131">
        <f t="shared" si="18"/>
        <v>4.7943745897086298</v>
      </c>
    </row>
    <row r="129" spans="1:11">
      <c r="A129" s="129" t="s">
        <v>301</v>
      </c>
    </row>
    <row r="130" spans="1:11">
      <c r="A130" s="17" t="s">
        <v>98</v>
      </c>
      <c r="B130" s="132">
        <f t="shared" ref="B130:K130" si="19">B107/B91</f>
        <v>0.19395052726048911</v>
      </c>
      <c r="C130" s="132">
        <f t="shared" si="19"/>
        <v>0.21959882148767002</v>
      </c>
      <c r="D130" s="132">
        <f t="shared" si="19"/>
        <v>0.21989610982675456</v>
      </c>
      <c r="E130" s="132">
        <f t="shared" si="19"/>
        <v>0.23007372374460983</v>
      </c>
      <c r="F130" s="132">
        <f t="shared" si="19"/>
        <v>1.7004578155657292E-2</v>
      </c>
      <c r="G130" s="132">
        <f t="shared" si="19"/>
        <v>0.18750689498780354</v>
      </c>
      <c r="H130" s="132">
        <f t="shared" si="19"/>
        <v>0.18424548190935791</v>
      </c>
      <c r="I130" s="132">
        <f t="shared" si="19"/>
        <v>0.17817010558946042</v>
      </c>
      <c r="J130" s="132">
        <f t="shared" si="19"/>
        <v>0.22263929618768327</v>
      </c>
      <c r="K130" s="132">
        <f t="shared" si="19"/>
        <v>0.18896601118565876</v>
      </c>
    </row>
    <row r="131" spans="1:11">
      <c r="A131" s="17" t="s">
        <v>99</v>
      </c>
      <c r="B131" s="132">
        <f>B59</f>
        <v>0.10424093516124899</v>
      </c>
      <c r="C131" s="132">
        <f t="shared" ref="C131:K132" si="20">C59</f>
        <v>0.12448996712909648</v>
      </c>
      <c r="D131" s="132">
        <f t="shared" si="20"/>
        <v>0.1155002211211969</v>
      </c>
      <c r="E131" s="132">
        <f t="shared" si="20"/>
        <v>0.11713217381451475</v>
      </c>
      <c r="F131" s="132">
        <f t="shared" si="20"/>
        <v>8.2643051944336719E-3</v>
      </c>
      <c r="G131" s="132">
        <f t="shared" si="20"/>
        <v>0.10001046066137531</v>
      </c>
      <c r="H131" s="132">
        <f t="shared" si="20"/>
        <v>9.5854889429904652E-2</v>
      </c>
      <c r="I131" s="132">
        <f t="shared" si="20"/>
        <v>8.4130959323933358E-2</v>
      </c>
      <c r="J131" s="132">
        <f t="shared" si="20"/>
        <v>0.1147029414673274</v>
      </c>
      <c r="K131" s="132">
        <f t="shared" si="20"/>
        <v>9.574763312662106E-2</v>
      </c>
    </row>
    <row r="132" spans="1:11">
      <c r="A132" s="17" t="s">
        <v>100</v>
      </c>
      <c r="B132" s="132">
        <f>B60</f>
        <v>0.18677163653059295</v>
      </c>
      <c r="C132" s="132">
        <f t="shared" si="20"/>
        <v>0.23401479527468746</v>
      </c>
      <c r="D132" s="132">
        <f t="shared" si="20"/>
        <v>0.21657062543921293</v>
      </c>
      <c r="E132" s="132">
        <f t="shared" si="20"/>
        <v>0.23488312647334489</v>
      </c>
      <c r="F132" s="132">
        <f t="shared" si="20"/>
        <v>2.1609042553191491E-2</v>
      </c>
      <c r="G132" s="132">
        <f t="shared" si="20"/>
        <v>0.25600816709064134</v>
      </c>
      <c r="H132" s="132">
        <f t="shared" si="20"/>
        <v>0.25422474819660001</v>
      </c>
      <c r="I132" s="132">
        <f t="shared" si="20"/>
        <v>0.23252947311861943</v>
      </c>
      <c r="J132" s="132">
        <f t="shared" si="20"/>
        <v>0.28204747173175904</v>
      </c>
      <c r="K132" s="132">
        <f t="shared" si="20"/>
        <v>0.23359460444768501</v>
      </c>
    </row>
    <row r="145" spans="1:11">
      <c r="A145" s="18" t="s">
        <v>107</v>
      </c>
    </row>
    <row r="146" spans="1:11" ht="20">
      <c r="A146" s="19" t="s">
        <v>307</v>
      </c>
    </row>
    <row r="148" spans="1:11" ht="14">
      <c r="A148" s="20" t="s">
        <v>109</v>
      </c>
    </row>
    <row r="151" spans="1:11">
      <c r="A151" s="141"/>
    </row>
    <row r="152" spans="1:11">
      <c r="A152" s="17" t="s">
        <v>296</v>
      </c>
      <c r="B152" s="17">
        <v>2013</v>
      </c>
      <c r="C152" s="17">
        <v>2014</v>
      </c>
      <c r="D152" s="17">
        <f t="shared" ref="D152:K152" si="21">C152+1</f>
        <v>2015</v>
      </c>
      <c r="E152" s="17">
        <f t="shared" si="21"/>
        <v>2016</v>
      </c>
      <c r="F152" s="17">
        <f t="shared" si="21"/>
        <v>2017</v>
      </c>
      <c r="G152" s="17">
        <f t="shared" si="21"/>
        <v>2018</v>
      </c>
      <c r="H152" s="17">
        <f t="shared" si="21"/>
        <v>2019</v>
      </c>
      <c r="I152" s="17">
        <f t="shared" si="21"/>
        <v>2020</v>
      </c>
      <c r="J152" s="17">
        <f t="shared" si="21"/>
        <v>2021</v>
      </c>
      <c r="K152" s="17">
        <f t="shared" si="21"/>
        <v>2022</v>
      </c>
    </row>
    <row r="153" spans="1:11" ht="14">
      <c r="A153" s="117" t="s">
        <v>0</v>
      </c>
      <c r="B153" s="118" t="s">
        <v>308</v>
      </c>
      <c r="C153" s="118" t="s">
        <v>309</v>
      </c>
      <c r="D153" s="118" t="s">
        <v>310</v>
      </c>
      <c r="E153" s="118" t="s">
        <v>311</v>
      </c>
      <c r="F153" s="118" t="s">
        <v>6</v>
      </c>
      <c r="G153" s="118" t="s">
        <v>312</v>
      </c>
      <c r="H153" s="118" t="s">
        <v>313</v>
      </c>
      <c r="I153" s="118" t="s">
        <v>314</v>
      </c>
      <c r="J153" s="118" t="s">
        <v>315</v>
      </c>
      <c r="K153" s="118" t="s">
        <v>316</v>
      </c>
    </row>
    <row r="154" spans="1:11" ht="14">
      <c r="A154" s="117" t="s">
        <v>13</v>
      </c>
      <c r="B154" s="118" t="s">
        <v>306</v>
      </c>
      <c r="C154" s="118" t="s">
        <v>306</v>
      </c>
      <c r="D154" s="118" t="s">
        <v>306</v>
      </c>
      <c r="E154" s="118" t="s">
        <v>306</v>
      </c>
      <c r="F154" s="118" t="s">
        <v>306</v>
      </c>
      <c r="G154" s="118" t="s">
        <v>306</v>
      </c>
      <c r="H154" s="118" t="s">
        <v>306</v>
      </c>
      <c r="I154" s="118" t="s">
        <v>306</v>
      </c>
      <c r="J154" s="118" t="s">
        <v>306</v>
      </c>
      <c r="K154" s="118" t="s">
        <v>306</v>
      </c>
    </row>
    <row r="155" spans="1:11">
      <c r="A155" s="117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</row>
    <row r="156" spans="1:11" s="69" customFormat="1">
      <c r="A156" s="121" t="s">
        <v>16</v>
      </c>
      <c r="B156" s="122">
        <v>51584000</v>
      </c>
      <c r="C156" s="122">
        <v>49605000</v>
      </c>
      <c r="D156" s="122">
        <v>48851000</v>
      </c>
      <c r="E156" s="122">
        <v>52824000</v>
      </c>
      <c r="F156" s="122">
        <v>52546000</v>
      </c>
      <c r="G156" s="122">
        <v>53647000</v>
      </c>
      <c r="H156" s="122">
        <v>51750000</v>
      </c>
      <c r="I156" s="122">
        <v>41908000</v>
      </c>
      <c r="J156" s="122">
        <v>81288000</v>
      </c>
      <c r="K156" s="122">
        <v>100330000</v>
      </c>
    </row>
    <row r="157" spans="1:11">
      <c r="A157" s="119" t="s">
        <v>17</v>
      </c>
      <c r="B157" s="120">
        <v>9586000</v>
      </c>
      <c r="C157" s="120">
        <v>9577000</v>
      </c>
      <c r="D157" s="120">
        <v>9648000</v>
      </c>
      <c r="E157" s="120">
        <v>12329000</v>
      </c>
      <c r="F157" s="120">
        <v>11240000</v>
      </c>
      <c r="G157" s="120">
        <v>11248000</v>
      </c>
      <c r="H157" s="120">
        <v>10219000</v>
      </c>
      <c r="I157" s="120">
        <v>8692000</v>
      </c>
      <c r="J157" s="120">
        <v>30821000</v>
      </c>
      <c r="K157" s="120">
        <v>34344000</v>
      </c>
    </row>
    <row r="158" spans="1:11" s="69" customFormat="1">
      <c r="A158" s="121" t="s">
        <v>18</v>
      </c>
      <c r="B158" s="122">
        <v>41998000</v>
      </c>
      <c r="C158" s="122">
        <v>40028000</v>
      </c>
      <c r="D158" s="122">
        <v>39203000</v>
      </c>
      <c r="E158" s="122">
        <v>40495000</v>
      </c>
      <c r="F158" s="122">
        <v>41306000</v>
      </c>
      <c r="G158" s="122">
        <v>42399000</v>
      </c>
      <c r="H158" s="122">
        <v>41531000</v>
      </c>
      <c r="I158" s="122">
        <v>33216000</v>
      </c>
      <c r="J158" s="122">
        <v>50467000</v>
      </c>
      <c r="K158" s="122">
        <v>65986000</v>
      </c>
    </row>
    <row r="159" spans="1:11">
      <c r="A159" s="119" t="s">
        <v>19</v>
      </c>
      <c r="B159" s="120">
        <v>14355000</v>
      </c>
      <c r="C159" s="120">
        <v>14097000</v>
      </c>
      <c r="D159" s="120">
        <v>14809000</v>
      </c>
      <c r="E159" s="120">
        <v>14837000</v>
      </c>
      <c r="F159" s="120">
        <v>14784000</v>
      </c>
      <c r="G159" s="120">
        <v>14455000</v>
      </c>
      <c r="H159" s="120">
        <v>14350000</v>
      </c>
      <c r="I159" s="120">
        <v>11615000</v>
      </c>
      <c r="J159" s="120">
        <v>12703000</v>
      </c>
      <c r="K159" s="120">
        <v>13677000</v>
      </c>
    </row>
    <row r="160" spans="1:11">
      <c r="A160" s="119" t="s">
        <v>317</v>
      </c>
      <c r="B160" s="120">
        <v>4599000</v>
      </c>
      <c r="C160" s="120">
        <v>4039000</v>
      </c>
      <c r="D160" s="120">
        <v>3728000</v>
      </c>
      <c r="E160" s="120">
        <v>4056000</v>
      </c>
      <c r="F160" s="120">
        <v>4758000</v>
      </c>
      <c r="G160" s="120">
        <v>4893000</v>
      </c>
      <c r="H160" s="120">
        <v>4610000</v>
      </c>
      <c r="I160" s="120">
        <v>3436000</v>
      </c>
      <c r="J160" s="120">
        <v>3700000</v>
      </c>
      <c r="K160" s="120">
        <v>3609000</v>
      </c>
    </row>
    <row r="161" spans="1:12">
      <c r="A161" s="119" t="s">
        <v>20</v>
      </c>
      <c r="B161" s="120">
        <v>6678000</v>
      </c>
      <c r="C161" s="120">
        <v>8393000</v>
      </c>
      <c r="D161" s="120">
        <v>7690000</v>
      </c>
      <c r="E161" s="120">
        <v>7872000</v>
      </c>
      <c r="F161" s="120">
        <v>7657000</v>
      </c>
      <c r="G161" s="120">
        <v>8006000</v>
      </c>
      <c r="H161" s="120">
        <v>8650000</v>
      </c>
      <c r="I161" s="120">
        <v>9405000</v>
      </c>
      <c r="J161" s="120">
        <v>13829000</v>
      </c>
      <c r="K161" s="120">
        <v>12381000</v>
      </c>
    </row>
    <row r="162" spans="1:12">
      <c r="A162" s="119" t="s">
        <v>21</v>
      </c>
      <c r="B162" s="120">
        <v>1182000</v>
      </c>
      <c r="C162" s="120">
        <v>250000</v>
      </c>
      <c r="D162" s="120">
        <v>1152000</v>
      </c>
      <c r="E162" s="120">
        <v>1724000</v>
      </c>
      <c r="F162" s="120">
        <v>487000</v>
      </c>
      <c r="G162" s="120">
        <v>1044000</v>
      </c>
      <c r="H162" s="120">
        <v>1085000</v>
      </c>
      <c r="I162" s="120">
        <v>600000</v>
      </c>
      <c r="J162" s="120">
        <v>802000</v>
      </c>
      <c r="K162" s="120">
        <v>1375000</v>
      </c>
    </row>
    <row r="163" spans="1:12">
      <c r="A163" s="119" t="s">
        <v>23</v>
      </c>
      <c r="B163" s="120">
        <v>-1223000</v>
      </c>
      <c r="C163" s="120">
        <v>363000</v>
      </c>
      <c r="D163" s="120">
        <v>2362000</v>
      </c>
      <c r="E163" s="120">
        <v>3110000</v>
      </c>
      <c r="F163" s="120">
        <v>779000</v>
      </c>
      <c r="G163" s="120">
        <v>2426000</v>
      </c>
      <c r="H163" s="120">
        <v>2499000</v>
      </c>
      <c r="I163" s="120">
        <v>456000</v>
      </c>
      <c r="J163" s="120">
        <v>-1276000</v>
      </c>
      <c r="K163" s="120">
        <v>-572000</v>
      </c>
    </row>
    <row r="164" spans="1:12">
      <c r="A164" s="119" t="s">
        <v>24</v>
      </c>
      <c r="B164" s="120">
        <v>25591000</v>
      </c>
      <c r="C164" s="120">
        <v>27142000</v>
      </c>
      <c r="D164" s="120">
        <v>29741000</v>
      </c>
      <c r="E164" s="120">
        <v>31599000</v>
      </c>
      <c r="F164" s="120">
        <v>28465000</v>
      </c>
      <c r="G164" s="120">
        <v>30824000</v>
      </c>
      <c r="H164" s="120">
        <v>31194000</v>
      </c>
      <c r="I164" s="120">
        <v>25512000</v>
      </c>
      <c r="J164" s="120">
        <v>29758000</v>
      </c>
      <c r="K164" s="120">
        <v>30470000</v>
      </c>
    </row>
    <row r="165" spans="1:12">
      <c r="A165" s="119" t="s">
        <v>25</v>
      </c>
      <c r="B165" s="120">
        <v>16407000</v>
      </c>
      <c r="C165" s="120">
        <v>12886000</v>
      </c>
      <c r="D165" s="120">
        <v>9462000</v>
      </c>
      <c r="E165" s="120">
        <v>8896000</v>
      </c>
      <c r="F165" s="120">
        <v>12841000</v>
      </c>
      <c r="G165" s="120">
        <v>11575000</v>
      </c>
      <c r="H165" s="120">
        <v>10337000</v>
      </c>
      <c r="I165" s="120">
        <v>7704000</v>
      </c>
      <c r="J165" s="120">
        <v>20709000</v>
      </c>
      <c r="K165" s="120">
        <v>35516000</v>
      </c>
      <c r="L165" s="120"/>
    </row>
    <row r="166" spans="1:12">
      <c r="A166" s="119" t="s">
        <v>26</v>
      </c>
      <c r="B166" s="120">
        <v>-1011000</v>
      </c>
      <c r="C166" s="120">
        <v>-935000</v>
      </c>
      <c r="D166" s="120">
        <v>-728000</v>
      </c>
      <c r="E166" s="120">
        <v>-716000</v>
      </c>
      <c r="F166" s="120">
        <v>-879000</v>
      </c>
      <c r="G166" s="120">
        <v>-983000</v>
      </c>
      <c r="H166" s="120">
        <v>-1348000</v>
      </c>
      <c r="I166" s="120">
        <v>-1376000</v>
      </c>
      <c r="J166" s="120">
        <v>-1255000</v>
      </c>
      <c r="K166" s="120">
        <v>-987000</v>
      </c>
    </row>
    <row r="167" spans="1:12">
      <c r="A167" s="119" t="s">
        <v>318</v>
      </c>
      <c r="B167" s="120">
        <v>320000</v>
      </c>
      <c r="C167" s="120">
        <v>288000</v>
      </c>
      <c r="D167" s="120">
        <v>232000</v>
      </c>
      <c r="E167" s="120">
        <v>171000</v>
      </c>
      <c r="F167" s="120">
        <v>343000</v>
      </c>
      <c r="G167" s="120">
        <v>516000</v>
      </c>
      <c r="H167" s="120">
        <v>8588000</v>
      </c>
      <c r="I167" s="120">
        <v>607000</v>
      </c>
      <c r="J167" s="120">
        <v>1914000</v>
      </c>
      <c r="K167" s="120">
        <v>-837000</v>
      </c>
    </row>
    <row r="168" spans="1:12">
      <c r="A168" s="119" t="s">
        <v>27</v>
      </c>
      <c r="B168" s="120">
        <v>0</v>
      </c>
      <c r="C168" s="120">
        <v>0</v>
      </c>
      <c r="D168" s="120">
        <v>0</v>
      </c>
      <c r="E168" s="120">
        <v>0</v>
      </c>
      <c r="F168" s="120">
        <v>0</v>
      </c>
      <c r="G168" s="120">
        <v>776000</v>
      </c>
      <c r="H168" s="120">
        <v>104000</v>
      </c>
      <c r="I168" s="120">
        <v>562000</v>
      </c>
      <c r="J168" s="120">
        <v>2943000</v>
      </c>
      <c r="K168" s="120">
        <v>1037000</v>
      </c>
    </row>
    <row r="169" spans="1:12">
      <c r="A169" s="119" t="s">
        <v>28</v>
      </c>
      <c r="B169" s="120">
        <v>-691000</v>
      </c>
      <c r="C169" s="120">
        <v>-647000</v>
      </c>
      <c r="D169" s="120">
        <v>-496000</v>
      </c>
      <c r="E169" s="120">
        <v>-545000</v>
      </c>
      <c r="F169" s="120">
        <v>-536000</v>
      </c>
      <c r="G169" s="120">
        <v>309000</v>
      </c>
      <c r="H169" s="120">
        <v>7344000</v>
      </c>
      <c r="I169" s="120">
        <v>-207000</v>
      </c>
      <c r="J169" s="120">
        <v>3602000</v>
      </c>
      <c r="K169" s="120">
        <v>-787000</v>
      </c>
    </row>
    <row r="170" spans="1:12">
      <c r="A170" s="119" t="s">
        <v>29</v>
      </c>
      <c r="B170" s="120">
        <v>15716000</v>
      </c>
      <c r="C170" s="120">
        <v>12240000</v>
      </c>
      <c r="D170" s="120">
        <v>8965000</v>
      </c>
      <c r="E170" s="120">
        <v>8351000</v>
      </c>
      <c r="F170" s="120">
        <v>12305000</v>
      </c>
      <c r="G170" s="120">
        <v>11885000</v>
      </c>
      <c r="H170" s="120">
        <v>17682000</v>
      </c>
      <c r="I170" s="120">
        <v>7497000</v>
      </c>
      <c r="J170" s="120">
        <v>24311000</v>
      </c>
      <c r="K170" s="120">
        <v>34729000</v>
      </c>
    </row>
    <row r="171" spans="1:12">
      <c r="A171" s="119" t="s">
        <v>30</v>
      </c>
      <c r="B171" s="120">
        <v>4306000</v>
      </c>
      <c r="C171" s="120">
        <v>3120000</v>
      </c>
      <c r="D171" s="120">
        <v>1990000</v>
      </c>
      <c r="E171" s="120">
        <v>1123000</v>
      </c>
      <c r="F171" s="120">
        <v>-9049000</v>
      </c>
      <c r="G171" s="120">
        <v>706000</v>
      </c>
      <c r="H171" s="120">
        <v>1384000</v>
      </c>
      <c r="I171" s="120">
        <v>477000</v>
      </c>
      <c r="J171" s="120">
        <v>1852000</v>
      </c>
      <c r="K171" s="120">
        <v>3328000</v>
      </c>
    </row>
    <row r="172" spans="1:12">
      <c r="A172" s="119" t="s">
        <v>68</v>
      </c>
      <c r="B172" s="120">
        <v>69000</v>
      </c>
      <c r="C172" s="120">
        <v>32000</v>
      </c>
      <c r="D172" s="120">
        <v>26000</v>
      </c>
      <c r="E172" s="120">
        <v>31000</v>
      </c>
      <c r="F172" s="120">
        <v>47000</v>
      </c>
      <c r="G172" s="120">
        <v>36000</v>
      </c>
      <c r="H172" s="120">
        <v>29000</v>
      </c>
      <c r="I172" s="120">
        <v>36000</v>
      </c>
      <c r="J172" s="120">
        <v>45000</v>
      </c>
      <c r="K172" s="120">
        <v>35000</v>
      </c>
    </row>
    <row r="173" spans="1:12">
      <c r="A173" s="119" t="s">
        <v>319</v>
      </c>
      <c r="B173" s="120">
        <v>10662000</v>
      </c>
      <c r="C173" s="120">
        <v>48000</v>
      </c>
      <c r="D173" s="120">
        <v>11000</v>
      </c>
      <c r="E173" s="120">
        <v>17000</v>
      </c>
      <c r="F173" s="120">
        <v>2000</v>
      </c>
      <c r="G173" s="120">
        <v>10000</v>
      </c>
      <c r="H173" s="120">
        <v>4000</v>
      </c>
      <c r="I173" s="120">
        <v>2631000</v>
      </c>
      <c r="J173" s="120">
        <v>-434000</v>
      </c>
      <c r="K173" s="120">
        <v>6000</v>
      </c>
    </row>
    <row r="174" spans="1:12">
      <c r="A174" s="119" t="s">
        <v>31</v>
      </c>
      <c r="B174" s="120">
        <v>0</v>
      </c>
      <c r="C174" s="120">
        <v>0</v>
      </c>
      <c r="D174" s="120">
        <v>0</v>
      </c>
      <c r="E174" s="120">
        <v>0</v>
      </c>
      <c r="F174" s="120">
        <v>0</v>
      </c>
      <c r="G174" s="120">
        <v>0</v>
      </c>
      <c r="H174" s="120">
        <v>0</v>
      </c>
      <c r="I174" s="120">
        <v>0</v>
      </c>
      <c r="J174" s="120">
        <v>0</v>
      </c>
      <c r="K174" s="120">
        <v>0</v>
      </c>
    </row>
    <row r="175" spans="1:12">
      <c r="A175" s="119" t="s">
        <v>32</v>
      </c>
      <c r="B175" s="120">
        <v>0</v>
      </c>
      <c r="C175" s="120">
        <v>0</v>
      </c>
      <c r="D175" s="120">
        <v>0</v>
      </c>
      <c r="E175" s="120">
        <v>0</v>
      </c>
      <c r="F175" s="120">
        <v>0</v>
      </c>
      <c r="G175" s="120">
        <v>0</v>
      </c>
      <c r="H175" s="120">
        <v>0</v>
      </c>
      <c r="I175" s="120">
        <v>0</v>
      </c>
      <c r="J175" s="120">
        <v>0</v>
      </c>
      <c r="K175" s="120">
        <v>0</v>
      </c>
    </row>
    <row r="176" spans="1:12" s="69" customFormat="1">
      <c r="A176" s="121" t="s">
        <v>33</v>
      </c>
      <c r="B176" s="122">
        <v>22003000</v>
      </c>
      <c r="C176" s="122">
        <v>9135000</v>
      </c>
      <c r="D176" s="122">
        <v>6960000</v>
      </c>
      <c r="E176" s="122">
        <v>7215000</v>
      </c>
      <c r="F176" s="122">
        <v>21308000</v>
      </c>
      <c r="G176" s="122">
        <v>11153000</v>
      </c>
      <c r="H176" s="122">
        <v>16273000</v>
      </c>
      <c r="I176" s="122">
        <v>9616000</v>
      </c>
      <c r="J176" s="122">
        <v>21980000</v>
      </c>
      <c r="K176" s="122">
        <v>31372000</v>
      </c>
    </row>
    <row r="177" spans="1:11">
      <c r="A177" s="119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</row>
    <row r="178" spans="1:11">
      <c r="A178" s="119" t="s">
        <v>34</v>
      </c>
      <c r="B178" s="125">
        <v>-2000</v>
      </c>
      <c r="C178" s="125">
        <v>-1000</v>
      </c>
      <c r="D178" s="125">
        <v>-1000</v>
      </c>
      <c r="E178" s="125">
        <v>-1000</v>
      </c>
      <c r="F178" s="125">
        <v>-1000</v>
      </c>
      <c r="G178" s="125">
        <v>-1000</v>
      </c>
      <c r="H178" s="125">
        <v>0</v>
      </c>
      <c r="I178" s="125">
        <v>0</v>
      </c>
      <c r="J178" s="125">
        <v>0</v>
      </c>
      <c r="K178" s="125">
        <v>0</v>
      </c>
    </row>
    <row r="179" spans="1:11">
      <c r="A179" s="119" t="s">
        <v>35</v>
      </c>
      <c r="B179" s="125">
        <v>22001000</v>
      </c>
      <c r="C179" s="125">
        <v>9134000</v>
      </c>
      <c r="D179" s="125">
        <v>6959000</v>
      </c>
      <c r="E179" s="125">
        <v>7214000</v>
      </c>
      <c r="F179" s="125">
        <v>21307000</v>
      </c>
      <c r="G179" s="125">
        <v>11152000</v>
      </c>
      <c r="H179" s="125">
        <v>16273000</v>
      </c>
      <c r="I179" s="125">
        <v>9616000</v>
      </c>
      <c r="J179" s="125">
        <v>21979000</v>
      </c>
      <c r="K179" s="125">
        <v>31372000</v>
      </c>
    </row>
    <row r="180" spans="1:11">
      <c r="A180" s="119" t="s">
        <v>36</v>
      </c>
      <c r="B180" s="125">
        <v>6813000</v>
      </c>
      <c r="C180" s="125">
        <v>6346000</v>
      </c>
      <c r="D180" s="125">
        <v>6176000</v>
      </c>
      <c r="E180" s="125">
        <v>6089000</v>
      </c>
      <c r="F180" s="125">
        <v>5970000</v>
      </c>
      <c r="G180" s="125">
        <v>5872000</v>
      </c>
      <c r="H180" s="125">
        <v>5569000</v>
      </c>
      <c r="I180" s="125">
        <v>5555000</v>
      </c>
      <c r="J180" s="125">
        <v>5601000</v>
      </c>
      <c r="K180" s="125">
        <v>5608000</v>
      </c>
    </row>
    <row r="181" spans="1:11">
      <c r="A181" s="119" t="s">
        <v>37</v>
      </c>
      <c r="B181" s="127">
        <v>3.23</v>
      </c>
      <c r="C181" s="127">
        <v>1.44</v>
      </c>
      <c r="D181" s="127">
        <v>1.1299999999999999</v>
      </c>
      <c r="E181" s="127">
        <v>1.18</v>
      </c>
      <c r="F181" s="127">
        <v>3.57</v>
      </c>
      <c r="G181" s="126">
        <v>1.9</v>
      </c>
      <c r="H181" s="127">
        <v>2.92</v>
      </c>
      <c r="I181" s="127">
        <v>1.73</v>
      </c>
      <c r="J181" s="127">
        <v>3.92</v>
      </c>
      <c r="K181" s="127">
        <v>5.59</v>
      </c>
    </row>
    <row r="182" spans="1:11">
      <c r="A182" s="119" t="s">
        <v>38</v>
      </c>
      <c r="B182" s="127">
        <v>1.67</v>
      </c>
      <c r="C182" s="127">
        <v>1.43</v>
      </c>
      <c r="D182" s="127">
        <v>1.1299999999999999</v>
      </c>
      <c r="E182" s="127">
        <v>1.18</v>
      </c>
      <c r="F182" s="127">
        <v>3.57</v>
      </c>
      <c r="G182" s="126">
        <v>1.9</v>
      </c>
      <c r="H182" s="127">
        <v>2.92</v>
      </c>
      <c r="I182" s="127">
        <v>1.26</v>
      </c>
      <c r="J182" s="125">
        <v>4</v>
      </c>
      <c r="K182" s="127">
        <v>5.59</v>
      </c>
    </row>
    <row r="183" spans="1:11">
      <c r="A183" s="119" t="s">
        <v>39</v>
      </c>
      <c r="B183" s="125">
        <v>6895000</v>
      </c>
      <c r="C183" s="125">
        <v>6424000</v>
      </c>
      <c r="D183" s="125">
        <v>6257000</v>
      </c>
      <c r="E183" s="125">
        <v>6159000</v>
      </c>
      <c r="F183" s="125">
        <v>6058000</v>
      </c>
      <c r="G183" s="125">
        <v>5977000</v>
      </c>
      <c r="H183" s="125">
        <v>5675000</v>
      </c>
      <c r="I183" s="125">
        <v>5632000</v>
      </c>
      <c r="J183" s="125">
        <v>5708000</v>
      </c>
      <c r="K183" s="125">
        <v>5733000</v>
      </c>
    </row>
    <row r="184" spans="1:11">
      <c r="A184" s="119" t="s">
        <v>40</v>
      </c>
      <c r="B184" s="127">
        <v>3.19</v>
      </c>
      <c r="C184" s="127">
        <v>1.42</v>
      </c>
      <c r="D184" s="127">
        <v>1.1100000000000001</v>
      </c>
      <c r="E184" s="127">
        <v>1.17</v>
      </c>
      <c r="F184" s="127">
        <v>3.52</v>
      </c>
      <c r="G184" s="127">
        <v>1.87</v>
      </c>
      <c r="H184" s="127">
        <v>2.87</v>
      </c>
      <c r="I184" s="127">
        <v>1.71</v>
      </c>
      <c r="J184" s="127">
        <v>3.85</v>
      </c>
      <c r="K184" s="127">
        <v>5.47</v>
      </c>
    </row>
    <row r="185" spans="1:11">
      <c r="A185" s="119" t="s">
        <v>41</v>
      </c>
      <c r="B185" s="127">
        <v>1.65</v>
      </c>
      <c r="C185" s="127">
        <v>1.41</v>
      </c>
      <c r="D185" s="127">
        <v>1.1100000000000001</v>
      </c>
      <c r="E185" s="127">
        <v>1.17</v>
      </c>
      <c r="F185" s="127">
        <v>3.52</v>
      </c>
      <c r="G185" s="127">
        <v>1.86</v>
      </c>
      <c r="H185" s="127">
        <v>2.87</v>
      </c>
      <c r="I185" s="127">
        <v>1.24</v>
      </c>
      <c r="J185" s="127">
        <v>3.93</v>
      </c>
      <c r="K185" s="127">
        <v>5.47</v>
      </c>
    </row>
    <row r="186" spans="1:11">
      <c r="A186" s="119" t="s">
        <v>42</v>
      </c>
      <c r="B186" s="125">
        <v>6399000</v>
      </c>
      <c r="C186" s="125">
        <v>6291000</v>
      </c>
      <c r="D186" s="125">
        <v>6175000</v>
      </c>
      <c r="E186" s="125">
        <v>6070000</v>
      </c>
      <c r="F186" s="125">
        <v>5979000</v>
      </c>
      <c r="G186" s="125">
        <v>5717000</v>
      </c>
      <c r="H186" s="125">
        <v>5534000</v>
      </c>
      <c r="I186" s="125">
        <v>5567000</v>
      </c>
      <c r="J186" s="125">
        <v>5620000</v>
      </c>
      <c r="K186" s="125">
        <v>5616000</v>
      </c>
    </row>
    <row r="199" spans="1:11">
      <c r="A199" s="18" t="s">
        <v>107</v>
      </c>
    </row>
    <row r="200" spans="1:11" ht="20">
      <c r="A200" s="19" t="s">
        <v>320</v>
      </c>
    </row>
    <row r="202" spans="1:11" ht="14">
      <c r="A202" s="20" t="s">
        <v>109</v>
      </c>
    </row>
    <row r="205" spans="1:11">
      <c r="A205" s="17" t="s">
        <v>296</v>
      </c>
      <c r="B205" s="17">
        <v>2013</v>
      </c>
      <c r="C205" s="17">
        <v>2014</v>
      </c>
      <c r="D205" s="17">
        <f t="shared" ref="D205:K205" si="22">C205+1</f>
        <v>2015</v>
      </c>
      <c r="E205" s="17">
        <f t="shared" si="22"/>
        <v>2016</v>
      </c>
      <c r="F205" s="17">
        <f t="shared" si="22"/>
        <v>2017</v>
      </c>
      <c r="G205" s="17">
        <f t="shared" si="22"/>
        <v>2018</v>
      </c>
      <c r="H205" s="17">
        <f t="shared" si="22"/>
        <v>2019</v>
      </c>
      <c r="I205" s="17">
        <f t="shared" si="22"/>
        <v>2020</v>
      </c>
      <c r="J205" s="17">
        <f t="shared" si="22"/>
        <v>2021</v>
      </c>
      <c r="K205" s="17">
        <f t="shared" si="22"/>
        <v>2022</v>
      </c>
    </row>
    <row r="206" spans="1:11" ht="14">
      <c r="A206" s="117" t="s">
        <v>0</v>
      </c>
      <c r="B206" s="118" t="s">
        <v>308</v>
      </c>
      <c r="C206" s="118" t="s">
        <v>309</v>
      </c>
      <c r="D206" s="118" t="s">
        <v>310</v>
      </c>
      <c r="E206" s="118" t="s">
        <v>311</v>
      </c>
      <c r="F206" s="118" t="s">
        <v>6</v>
      </c>
      <c r="G206" s="118" t="s">
        <v>312</v>
      </c>
      <c r="H206" s="118" t="s">
        <v>313</v>
      </c>
      <c r="I206" s="118" t="s">
        <v>314</v>
      </c>
      <c r="J206" s="118" t="s">
        <v>315</v>
      </c>
      <c r="K206" s="118" t="s">
        <v>316</v>
      </c>
    </row>
    <row r="207" spans="1:11" ht="14">
      <c r="A207" s="117" t="s">
        <v>11</v>
      </c>
      <c r="B207" s="118" t="s">
        <v>12</v>
      </c>
      <c r="C207" s="118" t="s">
        <v>12</v>
      </c>
      <c r="D207" s="118" t="s">
        <v>12</v>
      </c>
      <c r="E207" s="118" t="s">
        <v>12</v>
      </c>
      <c r="F207" s="118" t="s">
        <v>12</v>
      </c>
      <c r="G207" s="118" t="s">
        <v>12</v>
      </c>
      <c r="H207" s="118" t="s">
        <v>12</v>
      </c>
      <c r="I207" s="118" t="s">
        <v>12</v>
      </c>
      <c r="J207" s="118" t="s">
        <v>12</v>
      </c>
      <c r="K207" s="118" t="s">
        <v>12</v>
      </c>
    </row>
    <row r="208" spans="1:11" ht="14">
      <c r="A208" s="117" t="s">
        <v>13</v>
      </c>
      <c r="B208" s="118" t="s">
        <v>306</v>
      </c>
      <c r="C208" s="118" t="s">
        <v>306</v>
      </c>
      <c r="D208" s="118" t="s">
        <v>306</v>
      </c>
      <c r="E208" s="118" t="s">
        <v>306</v>
      </c>
      <c r="F208" s="118" t="s">
        <v>306</v>
      </c>
      <c r="G208" s="118" t="s">
        <v>306</v>
      </c>
      <c r="H208" s="118" t="s">
        <v>306</v>
      </c>
      <c r="I208" s="118" t="s">
        <v>306</v>
      </c>
      <c r="J208" s="118" t="s">
        <v>306</v>
      </c>
      <c r="K208" s="118" t="s">
        <v>306</v>
      </c>
    </row>
    <row r="209" spans="1:11">
      <c r="A209" s="119" t="s">
        <v>15</v>
      </c>
      <c r="B209" s="120">
        <v>44033000</v>
      </c>
      <c r="C209" s="120">
        <v>42237000</v>
      </c>
      <c r="D209" s="120">
        <v>39498000</v>
      </c>
      <c r="E209" s="120">
        <v>39807000</v>
      </c>
      <c r="F209" s="120">
        <v>40122000</v>
      </c>
      <c r="G209" s="120">
        <v>42294000</v>
      </c>
      <c r="H209" s="120">
        <v>46840000</v>
      </c>
      <c r="I209" s="120">
        <v>47994000</v>
      </c>
      <c r="J209" s="120">
        <v>48704000</v>
      </c>
      <c r="K209" s="120">
        <v>59283000</v>
      </c>
    </row>
    <row r="210" spans="1:11" s="69" customFormat="1">
      <c r="A210" s="121" t="s">
        <v>16</v>
      </c>
      <c r="B210" s="122">
        <v>44033000</v>
      </c>
      <c r="C210" s="122">
        <v>42237000</v>
      </c>
      <c r="D210" s="122">
        <v>39498000</v>
      </c>
      <c r="E210" s="122">
        <v>39807000</v>
      </c>
      <c r="F210" s="122">
        <v>40122000</v>
      </c>
      <c r="G210" s="122">
        <v>42294000</v>
      </c>
      <c r="H210" s="122">
        <v>46840000</v>
      </c>
      <c r="I210" s="122">
        <v>47994000</v>
      </c>
      <c r="J210" s="122">
        <v>48704000</v>
      </c>
      <c r="K210" s="122">
        <v>59283000</v>
      </c>
    </row>
    <row r="211" spans="1:11">
      <c r="A211" s="119" t="s">
        <v>17</v>
      </c>
      <c r="B211" s="120">
        <v>16954000</v>
      </c>
      <c r="C211" s="120">
        <v>16768000</v>
      </c>
      <c r="D211" s="120">
        <v>14934000</v>
      </c>
      <c r="E211" s="120">
        <v>13891000</v>
      </c>
      <c r="F211" s="120">
        <v>12775000</v>
      </c>
      <c r="G211" s="120">
        <v>13509000</v>
      </c>
      <c r="H211" s="120">
        <v>14112000</v>
      </c>
      <c r="I211" s="120">
        <v>15485000</v>
      </c>
      <c r="J211" s="120">
        <v>13626000</v>
      </c>
      <c r="K211" s="120">
        <v>17411000</v>
      </c>
    </row>
    <row r="212" spans="1:11" s="69" customFormat="1">
      <c r="A212" s="121" t="s">
        <v>18</v>
      </c>
      <c r="B212" s="122">
        <v>27079000</v>
      </c>
      <c r="C212" s="122">
        <v>25469000</v>
      </c>
      <c r="D212" s="122">
        <v>24564000</v>
      </c>
      <c r="E212" s="122">
        <v>25916000</v>
      </c>
      <c r="F212" s="122">
        <v>27347000</v>
      </c>
      <c r="G212" s="122">
        <v>28785000</v>
      </c>
      <c r="H212" s="122">
        <v>32728000</v>
      </c>
      <c r="I212" s="122">
        <v>32509000</v>
      </c>
      <c r="J212" s="122">
        <v>35078000</v>
      </c>
      <c r="K212" s="122">
        <v>41872000</v>
      </c>
    </row>
    <row r="213" spans="1:11">
      <c r="A213" s="119" t="s">
        <v>19</v>
      </c>
      <c r="B213" s="120">
        <v>11911000</v>
      </c>
      <c r="C213" s="120">
        <v>11606000</v>
      </c>
      <c r="D213" s="120">
        <v>10313000</v>
      </c>
      <c r="E213" s="120">
        <v>9762000</v>
      </c>
      <c r="F213" s="120">
        <v>9830000</v>
      </c>
      <c r="G213" s="120">
        <v>10102000</v>
      </c>
      <c r="H213" s="120">
        <v>10615000</v>
      </c>
      <c r="I213" s="120">
        <v>10468000</v>
      </c>
      <c r="J213" s="120">
        <v>9634000</v>
      </c>
      <c r="K213" s="120">
        <v>10042000</v>
      </c>
    </row>
    <row r="214" spans="1:11">
      <c r="A214" s="119" t="s">
        <v>20</v>
      </c>
      <c r="B214" s="120">
        <v>7503000</v>
      </c>
      <c r="C214" s="120">
        <v>7180000</v>
      </c>
      <c r="D214" s="120">
        <v>6704000</v>
      </c>
      <c r="E214" s="120">
        <v>10124000</v>
      </c>
      <c r="F214" s="120">
        <v>10208000</v>
      </c>
      <c r="G214" s="120">
        <v>9752000</v>
      </c>
      <c r="H214" s="120">
        <v>9872000</v>
      </c>
      <c r="I214" s="120">
        <v>13558000</v>
      </c>
      <c r="J214" s="120">
        <v>12245000</v>
      </c>
      <c r="K214" s="120">
        <v>13548000</v>
      </c>
    </row>
    <row r="215" spans="1:11">
      <c r="A215" s="119" t="s">
        <v>21</v>
      </c>
      <c r="B215" s="120">
        <v>1709000</v>
      </c>
      <c r="C215" s="120">
        <v>1013000</v>
      </c>
      <c r="D215" s="120">
        <v>619000</v>
      </c>
      <c r="E215" s="120">
        <v>651000</v>
      </c>
      <c r="F215" s="120">
        <v>776000</v>
      </c>
      <c r="G215" s="120">
        <v>632000</v>
      </c>
      <c r="H215" s="120">
        <v>638000</v>
      </c>
      <c r="I215" s="120">
        <v>578000</v>
      </c>
      <c r="J215" s="120">
        <v>661000</v>
      </c>
      <c r="K215" s="120">
        <v>337000</v>
      </c>
    </row>
    <row r="216" spans="1:11">
      <c r="A216" s="119" t="s">
        <v>23</v>
      </c>
      <c r="B216" s="120">
        <v>0</v>
      </c>
      <c r="C216" s="120">
        <v>0</v>
      </c>
      <c r="D216" s="120">
        <v>0</v>
      </c>
      <c r="E216" s="120">
        <v>0</v>
      </c>
      <c r="F216" s="120">
        <v>0</v>
      </c>
      <c r="G216" s="120">
        <v>0</v>
      </c>
      <c r="H216" s="120">
        <v>0</v>
      </c>
      <c r="I216" s="120">
        <v>0</v>
      </c>
      <c r="J216" s="120">
        <v>0</v>
      </c>
      <c r="K216" s="120">
        <v>0</v>
      </c>
    </row>
    <row r="217" spans="1:11">
      <c r="A217" s="119" t="s">
        <v>24</v>
      </c>
      <c r="B217" s="120">
        <v>21123000</v>
      </c>
      <c r="C217" s="120">
        <v>19799000</v>
      </c>
      <c r="D217" s="120">
        <v>17636000</v>
      </c>
      <c r="E217" s="120">
        <v>20537000</v>
      </c>
      <c r="F217" s="120">
        <v>20814000</v>
      </c>
      <c r="G217" s="120">
        <v>20486000</v>
      </c>
      <c r="H217" s="120">
        <v>21125000</v>
      </c>
      <c r="I217" s="120">
        <v>24604000</v>
      </c>
      <c r="J217" s="120">
        <v>22540000</v>
      </c>
      <c r="K217" s="120">
        <v>23927000</v>
      </c>
    </row>
    <row r="218" spans="1:11">
      <c r="A218" s="119" t="s">
        <v>25</v>
      </c>
      <c r="B218" s="120">
        <v>5956000</v>
      </c>
      <c r="C218" s="120">
        <v>5670000</v>
      </c>
      <c r="D218" s="120">
        <v>6928000</v>
      </c>
      <c r="E218" s="120">
        <v>5379000</v>
      </c>
      <c r="F218" s="120">
        <v>6533000</v>
      </c>
      <c r="G218" s="120">
        <v>8299000</v>
      </c>
      <c r="H218" s="120">
        <v>11603000</v>
      </c>
      <c r="I218" s="120">
        <v>7905000</v>
      </c>
      <c r="J218" s="120">
        <v>12538000</v>
      </c>
      <c r="K218" s="120">
        <v>17945000</v>
      </c>
    </row>
    <row r="219" spans="1:11">
      <c r="A219" s="119" t="s">
        <v>26</v>
      </c>
      <c r="B219" s="120">
        <v>-537000</v>
      </c>
      <c r="C219" s="120">
        <v>-466000</v>
      </c>
      <c r="D219" s="120">
        <v>-383000</v>
      </c>
      <c r="E219" s="120">
        <v>-365000</v>
      </c>
      <c r="F219" s="120">
        <v>-369000</v>
      </c>
      <c r="G219" s="120">
        <v>-429000</v>
      </c>
      <c r="H219" s="120">
        <v>-619000</v>
      </c>
      <c r="I219" s="120">
        <v>-772000</v>
      </c>
      <c r="J219" s="120">
        <v>-770000</v>
      </c>
      <c r="K219" s="120">
        <v>-805000</v>
      </c>
    </row>
    <row r="220" spans="1:11">
      <c r="A220" s="119" t="s">
        <v>318</v>
      </c>
      <c r="B220" s="123" t="s">
        <v>22</v>
      </c>
      <c r="C220" s="123" t="s">
        <v>22</v>
      </c>
      <c r="D220" s="123" t="s">
        <v>22</v>
      </c>
      <c r="E220" s="123" t="s">
        <v>22</v>
      </c>
      <c r="F220" s="123" t="s">
        <v>22</v>
      </c>
      <c r="G220" s="120">
        <v>324000</v>
      </c>
      <c r="H220" s="120">
        <v>170000</v>
      </c>
      <c r="I220" s="120">
        <v>1338000</v>
      </c>
      <c r="J220" s="120">
        <v>1940000</v>
      </c>
      <c r="K220" s="120">
        <v>-1419000</v>
      </c>
    </row>
    <row r="221" spans="1:11">
      <c r="A221" s="119" t="s">
        <v>321</v>
      </c>
      <c r="B221" s="120">
        <v>-290000</v>
      </c>
      <c r="C221" s="120">
        <v>-180000</v>
      </c>
      <c r="D221" s="120">
        <v>-1277000</v>
      </c>
      <c r="E221" s="120">
        <v>-174000</v>
      </c>
      <c r="F221" s="120">
        <v>11000</v>
      </c>
      <c r="G221" s="120">
        <v>-145000</v>
      </c>
      <c r="H221" s="120">
        <v>-187000</v>
      </c>
      <c r="I221" s="120">
        <v>-145000</v>
      </c>
      <c r="J221" s="120">
        <v>-297000</v>
      </c>
      <c r="K221" s="120">
        <v>-237000</v>
      </c>
    </row>
    <row r="222" spans="1:11">
      <c r="A222" s="119" t="s">
        <v>27</v>
      </c>
      <c r="B222" s="120">
        <v>12000</v>
      </c>
      <c r="C222" s="120">
        <v>12002000</v>
      </c>
      <c r="D222" s="120">
        <v>-72000</v>
      </c>
      <c r="E222" s="120">
        <v>-267000</v>
      </c>
      <c r="F222" s="120">
        <v>304000</v>
      </c>
      <c r="G222" s="120">
        <v>652000</v>
      </c>
      <c r="H222" s="120">
        <v>497000</v>
      </c>
      <c r="I222" s="120">
        <v>465000</v>
      </c>
      <c r="J222" s="120">
        <v>468000</v>
      </c>
      <c r="K222" s="120">
        <v>960000</v>
      </c>
    </row>
    <row r="223" spans="1:11">
      <c r="A223" s="119" t="s">
        <v>28</v>
      </c>
      <c r="B223" s="120">
        <v>-815000</v>
      </c>
      <c r="C223" s="120">
        <v>11356000</v>
      </c>
      <c r="D223" s="120">
        <v>-1732000</v>
      </c>
      <c r="E223" s="120">
        <v>-806000</v>
      </c>
      <c r="F223" s="120">
        <v>-54000</v>
      </c>
      <c r="G223" s="120">
        <v>402000</v>
      </c>
      <c r="H223" s="120">
        <v>-139000</v>
      </c>
      <c r="I223" s="120">
        <v>886000</v>
      </c>
      <c r="J223" s="120">
        <v>1341000</v>
      </c>
      <c r="K223" s="120">
        <v>-1501000</v>
      </c>
    </row>
    <row r="224" spans="1:11">
      <c r="A224" s="119" t="s">
        <v>29</v>
      </c>
      <c r="B224" s="120">
        <v>5141000</v>
      </c>
      <c r="C224" s="120">
        <v>17026000</v>
      </c>
      <c r="D224" s="120">
        <v>5196000</v>
      </c>
      <c r="E224" s="120">
        <v>4573000</v>
      </c>
      <c r="F224" s="120">
        <v>6479000</v>
      </c>
      <c r="G224" s="120">
        <v>8701000</v>
      </c>
      <c r="H224" s="120">
        <v>11464000</v>
      </c>
      <c r="I224" s="120">
        <v>8791000</v>
      </c>
      <c r="J224" s="120">
        <v>13879000</v>
      </c>
      <c r="K224" s="120">
        <v>16444000</v>
      </c>
    </row>
    <row r="225" spans="1:11">
      <c r="A225" s="119" t="s">
        <v>30</v>
      </c>
      <c r="B225" s="120">
        <v>1028000</v>
      </c>
      <c r="C225" s="120">
        <v>5349000</v>
      </c>
      <c r="D225" s="120">
        <v>942000</v>
      </c>
      <c r="E225" s="120">
        <v>718000</v>
      </c>
      <c r="F225" s="120">
        <v>4103000</v>
      </c>
      <c r="G225" s="120">
        <v>2508000</v>
      </c>
      <c r="H225" s="120">
        <v>1687000</v>
      </c>
      <c r="I225" s="120">
        <v>1709000</v>
      </c>
      <c r="J225" s="120">
        <v>1521000</v>
      </c>
      <c r="K225" s="120">
        <v>1918000</v>
      </c>
    </row>
    <row r="226" spans="1:11">
      <c r="A226" s="119" t="s">
        <v>68</v>
      </c>
      <c r="B226" s="120">
        <v>113000</v>
      </c>
      <c r="C226" s="120">
        <v>14000</v>
      </c>
      <c r="D226" s="120">
        <v>17000</v>
      </c>
      <c r="E226" s="120">
        <v>21000</v>
      </c>
      <c r="F226" s="120">
        <v>24000</v>
      </c>
      <c r="G226" s="120">
        <v>-27000</v>
      </c>
      <c r="H226" s="120">
        <v>-66000</v>
      </c>
      <c r="I226" s="120">
        <v>15000</v>
      </c>
      <c r="J226" s="120">
        <v>-691000</v>
      </c>
      <c r="K226" s="120">
        <v>7000</v>
      </c>
    </row>
    <row r="227" spans="1:11">
      <c r="A227" s="119" t="s">
        <v>322</v>
      </c>
      <c r="B227" s="120">
        <v>404000</v>
      </c>
      <c r="C227" s="120">
        <v>257000</v>
      </c>
      <c r="D227" s="120">
        <v>205000</v>
      </c>
      <c r="E227" s="120">
        <v>86000</v>
      </c>
      <c r="F227" s="120">
        <v>42000</v>
      </c>
      <c r="G227" s="123" t="s">
        <v>22</v>
      </c>
      <c r="H227" s="123" t="s">
        <v>22</v>
      </c>
      <c r="I227" s="123" t="s">
        <v>22</v>
      </c>
      <c r="J227" s="123" t="s">
        <v>22</v>
      </c>
      <c r="K227" s="123" t="s">
        <v>22</v>
      </c>
    </row>
    <row r="228" spans="1:11">
      <c r="A228" s="119" t="s">
        <v>31</v>
      </c>
      <c r="B228" s="120">
        <v>0</v>
      </c>
      <c r="C228" s="120">
        <v>0</v>
      </c>
      <c r="D228" s="120">
        <v>0</v>
      </c>
      <c r="E228" s="120">
        <v>0</v>
      </c>
      <c r="F228" s="120">
        <v>0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</row>
    <row r="229" spans="1:11">
      <c r="A229" s="119" t="s">
        <v>32</v>
      </c>
      <c r="B229" s="120">
        <v>0</v>
      </c>
      <c r="C229" s="120">
        <v>0</v>
      </c>
      <c r="D229" s="120">
        <v>0</v>
      </c>
      <c r="E229" s="120">
        <v>0</v>
      </c>
      <c r="F229" s="120">
        <v>0</v>
      </c>
      <c r="G229" s="120">
        <v>0</v>
      </c>
      <c r="H229" s="120">
        <v>0</v>
      </c>
      <c r="I229" s="120">
        <v>0</v>
      </c>
      <c r="J229" s="120">
        <v>0</v>
      </c>
      <c r="K229" s="120">
        <v>0</v>
      </c>
    </row>
    <row r="230" spans="1:11" s="69" customFormat="1">
      <c r="A230" s="121" t="s">
        <v>33</v>
      </c>
      <c r="B230" s="122">
        <v>4404000</v>
      </c>
      <c r="C230" s="122">
        <v>11920000</v>
      </c>
      <c r="D230" s="122">
        <v>4442000</v>
      </c>
      <c r="E230" s="122">
        <v>3920000</v>
      </c>
      <c r="F230" s="122">
        <v>2394000</v>
      </c>
      <c r="G230" s="122">
        <v>6220000</v>
      </c>
      <c r="H230" s="122">
        <v>9843000</v>
      </c>
      <c r="I230" s="122">
        <v>7067000</v>
      </c>
      <c r="J230" s="122">
        <v>13049000</v>
      </c>
      <c r="K230" s="122">
        <v>14519000</v>
      </c>
    </row>
    <row r="231" spans="1:11" s="69" customFormat="1">
      <c r="A231" s="121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</row>
    <row r="232" spans="1:11">
      <c r="A232" s="119" t="s">
        <v>34</v>
      </c>
      <c r="B232" s="125">
        <v>0</v>
      </c>
      <c r="C232" s="125">
        <v>0</v>
      </c>
      <c r="D232" s="125">
        <v>0</v>
      </c>
      <c r="E232" s="125">
        <v>0</v>
      </c>
      <c r="F232" s="125">
        <v>0</v>
      </c>
      <c r="G232" s="125">
        <v>0</v>
      </c>
      <c r="H232" s="125">
        <v>0</v>
      </c>
      <c r="I232" s="125">
        <v>0</v>
      </c>
      <c r="J232" s="125">
        <v>0</v>
      </c>
      <c r="K232" s="125">
        <v>0</v>
      </c>
    </row>
    <row r="233" spans="1:11">
      <c r="A233" s="119" t="s">
        <v>35</v>
      </c>
      <c r="B233" s="125">
        <v>4404000</v>
      </c>
      <c r="C233" s="125">
        <v>11920000</v>
      </c>
      <c r="D233" s="125">
        <v>4442000</v>
      </c>
      <c r="E233" s="125">
        <v>3920000</v>
      </c>
      <c r="F233" s="125">
        <v>2394000</v>
      </c>
      <c r="G233" s="125">
        <v>6220000</v>
      </c>
      <c r="H233" s="125">
        <v>9843000</v>
      </c>
      <c r="I233" s="125">
        <v>7067000</v>
      </c>
      <c r="J233" s="125">
        <v>13049000</v>
      </c>
      <c r="K233" s="125">
        <v>14519000</v>
      </c>
    </row>
    <row r="234" spans="1:11">
      <c r="A234" s="119" t="s">
        <v>36</v>
      </c>
      <c r="B234" s="125">
        <v>2963000</v>
      </c>
      <c r="C234" s="125">
        <v>2894000</v>
      </c>
      <c r="D234" s="125">
        <v>2816000</v>
      </c>
      <c r="E234" s="125">
        <v>2766000</v>
      </c>
      <c r="F234" s="125">
        <v>2730000</v>
      </c>
      <c r="G234" s="125">
        <v>2664000</v>
      </c>
      <c r="H234" s="125">
        <v>2565000</v>
      </c>
      <c r="I234" s="125">
        <v>2530000</v>
      </c>
      <c r="J234" s="125">
        <v>2530000</v>
      </c>
      <c r="K234" s="125">
        <v>2532000</v>
      </c>
    </row>
    <row r="235" spans="1:11">
      <c r="A235" s="119" t="s">
        <v>37</v>
      </c>
      <c r="B235" s="127">
        <v>1.49</v>
      </c>
      <c r="C235" s="127">
        <v>4.12</v>
      </c>
      <c r="D235" s="127">
        <v>1.58</v>
      </c>
      <c r="E235" s="127">
        <v>1.42</v>
      </c>
      <c r="F235" s="127">
        <v>0.88</v>
      </c>
      <c r="G235" s="127">
        <v>2.34</v>
      </c>
      <c r="H235" s="127">
        <v>3.84</v>
      </c>
      <c r="I235" s="127">
        <v>2.79</v>
      </c>
      <c r="J235" s="127">
        <v>5.16</v>
      </c>
      <c r="K235" s="127">
        <v>5.73</v>
      </c>
    </row>
    <row r="236" spans="1:11">
      <c r="A236" s="119" t="s">
        <v>38</v>
      </c>
      <c r="B236" s="127">
        <v>1.49</v>
      </c>
      <c r="C236" s="127">
        <v>4.12</v>
      </c>
      <c r="D236" s="127">
        <v>1.58</v>
      </c>
      <c r="E236" s="127">
        <v>1.42</v>
      </c>
      <c r="F236" s="127">
        <v>0.88</v>
      </c>
      <c r="G236" s="127">
        <v>2.34</v>
      </c>
      <c r="H236" s="127">
        <v>3.84</v>
      </c>
      <c r="I236" s="127">
        <v>2.79</v>
      </c>
      <c r="J236" s="127">
        <v>4.88</v>
      </c>
      <c r="K236" s="127">
        <v>5.73</v>
      </c>
    </row>
    <row r="237" spans="1:11">
      <c r="A237" s="119" t="s">
        <v>39</v>
      </c>
      <c r="B237" s="125">
        <v>2996000</v>
      </c>
      <c r="C237" s="125">
        <v>2928000</v>
      </c>
      <c r="D237" s="125">
        <v>2841000</v>
      </c>
      <c r="E237" s="125">
        <v>2787000</v>
      </c>
      <c r="F237" s="125">
        <v>2748000</v>
      </c>
      <c r="G237" s="125">
        <v>2679000</v>
      </c>
      <c r="H237" s="125">
        <v>2580000</v>
      </c>
      <c r="I237" s="125">
        <v>2541000</v>
      </c>
      <c r="J237" s="125">
        <v>2538000</v>
      </c>
      <c r="K237" s="125">
        <v>2542000</v>
      </c>
    </row>
    <row r="238" spans="1:11">
      <c r="A238" s="119" t="s">
        <v>40</v>
      </c>
      <c r="B238" s="127">
        <v>1.47</v>
      </c>
      <c r="C238" s="127">
        <v>4.07</v>
      </c>
      <c r="D238" s="127">
        <v>1.56</v>
      </c>
      <c r="E238" s="127">
        <v>1.41</v>
      </c>
      <c r="F238" s="127">
        <v>0.87</v>
      </c>
      <c r="G238" s="127">
        <v>2.3199999999999998</v>
      </c>
      <c r="H238" s="127">
        <v>3.81</v>
      </c>
      <c r="I238" s="127">
        <v>2.78</v>
      </c>
      <c r="J238" s="127">
        <v>5.14</v>
      </c>
      <c r="K238" s="127">
        <v>5.71</v>
      </c>
    </row>
    <row r="239" spans="1:11">
      <c r="A239" s="119" t="s">
        <v>41</v>
      </c>
      <c r="B239" s="127">
        <v>1.47</v>
      </c>
      <c r="C239" s="127">
        <v>4.07</v>
      </c>
      <c r="D239" s="127">
        <v>1.56</v>
      </c>
      <c r="E239" s="127">
        <v>1.41</v>
      </c>
      <c r="F239" s="127">
        <v>0.87</v>
      </c>
      <c r="G239" s="127">
        <v>2.3199999999999998</v>
      </c>
      <c r="H239" s="127">
        <v>3.81</v>
      </c>
      <c r="I239" s="127">
        <v>2.78</v>
      </c>
      <c r="J239" s="127">
        <v>4.8600000000000003</v>
      </c>
      <c r="K239" s="127">
        <v>5.71</v>
      </c>
    </row>
    <row r="240" spans="1:11">
      <c r="A240" s="119" t="s">
        <v>42</v>
      </c>
      <c r="B240" s="128">
        <v>2927526.7140000002</v>
      </c>
      <c r="C240" s="128">
        <v>2838140.196</v>
      </c>
      <c r="D240" s="128">
        <v>2781128.0729999999</v>
      </c>
      <c r="E240" s="128">
        <v>2748731.3220000002</v>
      </c>
      <c r="F240" s="128">
        <v>2696611.608</v>
      </c>
      <c r="G240" s="128">
        <v>2592559.5430000001</v>
      </c>
      <c r="H240" s="128">
        <v>2539016.0260000001</v>
      </c>
      <c r="I240" s="128">
        <v>2530225.827</v>
      </c>
      <c r="J240" s="128">
        <v>2527604.4989999998</v>
      </c>
      <c r="K240" s="128">
        <v>2537833.8840000001</v>
      </c>
    </row>
    <row r="254" spans="1:1">
      <c r="A254" s="18" t="s">
        <v>107</v>
      </c>
    </row>
    <row r="255" spans="1:1" ht="20">
      <c r="A255" s="19" t="s">
        <v>323</v>
      </c>
    </row>
    <row r="257" spans="1:12" ht="14">
      <c r="A257" s="20" t="s">
        <v>109</v>
      </c>
    </row>
    <row r="260" spans="1:12">
      <c r="A260" s="17" t="s">
        <v>296</v>
      </c>
      <c r="B260" s="17">
        <v>2013</v>
      </c>
      <c r="C260" s="17">
        <v>2014</v>
      </c>
      <c r="D260" s="17">
        <f t="shared" ref="D260:K260" si="23">C260+1</f>
        <v>2015</v>
      </c>
      <c r="E260" s="17">
        <f t="shared" si="23"/>
        <v>2016</v>
      </c>
      <c r="F260" s="17">
        <f t="shared" si="23"/>
        <v>2017</v>
      </c>
      <c r="G260" s="17">
        <f t="shared" si="23"/>
        <v>2018</v>
      </c>
      <c r="H260" s="17">
        <f t="shared" si="23"/>
        <v>2019</v>
      </c>
      <c r="I260" s="17">
        <f t="shared" si="23"/>
        <v>2020</v>
      </c>
      <c r="J260" s="17">
        <f t="shared" si="23"/>
        <v>2021</v>
      </c>
      <c r="K260" s="17">
        <f t="shared" si="23"/>
        <v>2022</v>
      </c>
    </row>
    <row r="261" spans="1:12" ht="14">
      <c r="A261" s="117" t="s">
        <v>0</v>
      </c>
      <c r="B261" s="118" t="s">
        <v>308</v>
      </c>
      <c r="C261" s="118" t="s">
        <v>309</v>
      </c>
      <c r="D261" s="118" t="s">
        <v>310</v>
      </c>
      <c r="E261" s="118" t="s">
        <v>311</v>
      </c>
      <c r="F261" s="118" t="s">
        <v>6</v>
      </c>
      <c r="G261" s="118" t="s">
        <v>312</v>
      </c>
      <c r="H261" s="118" t="s">
        <v>313</v>
      </c>
      <c r="I261" s="118" t="s">
        <v>314</v>
      </c>
      <c r="J261" s="118" t="s">
        <v>315</v>
      </c>
      <c r="K261" s="118" t="s">
        <v>316</v>
      </c>
    </row>
    <row r="262" spans="1:12" ht="14">
      <c r="A262" s="117" t="s">
        <v>11</v>
      </c>
      <c r="B262" s="118" t="s">
        <v>12</v>
      </c>
      <c r="C262" s="118" t="s">
        <v>12</v>
      </c>
      <c r="D262" s="118" t="s">
        <v>12</v>
      </c>
      <c r="E262" s="118" t="s">
        <v>12</v>
      </c>
      <c r="F262" s="118" t="s">
        <v>12</v>
      </c>
      <c r="G262" s="118" t="s">
        <v>12</v>
      </c>
      <c r="H262" s="118" t="s">
        <v>12</v>
      </c>
      <c r="I262" s="118" t="s">
        <v>12</v>
      </c>
      <c r="J262" s="118" t="s">
        <v>12</v>
      </c>
      <c r="K262" s="118" t="s">
        <v>12</v>
      </c>
    </row>
    <row r="263" spans="1:12" ht="14">
      <c r="A263" s="117" t="s">
        <v>13</v>
      </c>
      <c r="B263" s="118" t="s">
        <v>306</v>
      </c>
      <c r="C263" s="118" t="s">
        <v>306</v>
      </c>
      <c r="D263" s="118" t="s">
        <v>306</v>
      </c>
      <c r="E263" s="118" t="s">
        <v>306</v>
      </c>
      <c r="F263" s="118" t="s">
        <v>306</v>
      </c>
      <c r="G263" s="118" t="s">
        <v>306</v>
      </c>
      <c r="H263" s="118" t="s">
        <v>306</v>
      </c>
      <c r="I263" s="118" t="s">
        <v>306</v>
      </c>
      <c r="J263" s="118" t="s">
        <v>306</v>
      </c>
      <c r="K263" s="118" t="s">
        <v>306</v>
      </c>
    </row>
    <row r="264" spans="1:12" s="69" customFormat="1">
      <c r="A264" s="121" t="s">
        <v>16</v>
      </c>
      <c r="B264" s="122">
        <v>23113100</v>
      </c>
      <c r="C264" s="122">
        <v>19615600</v>
      </c>
      <c r="D264" s="122">
        <v>19958700</v>
      </c>
      <c r="E264" s="122">
        <v>21222100</v>
      </c>
      <c r="F264" s="122">
        <v>22871300</v>
      </c>
      <c r="G264" s="122">
        <v>24555700</v>
      </c>
      <c r="H264" s="122">
        <v>22319500</v>
      </c>
      <c r="I264" s="122">
        <v>24539800</v>
      </c>
      <c r="J264" s="122">
        <v>28318400</v>
      </c>
      <c r="K264" s="122">
        <v>28541400</v>
      </c>
      <c r="L264" s="122">
        <v>28541400000</v>
      </c>
    </row>
    <row r="265" spans="1:12">
      <c r="A265" s="119" t="s">
        <v>17</v>
      </c>
      <c r="B265" s="120">
        <v>4908100</v>
      </c>
      <c r="C265" s="120">
        <v>4932500</v>
      </c>
      <c r="D265" s="120">
        <v>5037200</v>
      </c>
      <c r="E265" s="120">
        <v>5654900</v>
      </c>
      <c r="F265" s="120">
        <v>6070200</v>
      </c>
      <c r="G265" s="120">
        <v>6430000</v>
      </c>
      <c r="H265" s="120">
        <v>4721200</v>
      </c>
      <c r="I265" s="120">
        <v>5483300</v>
      </c>
      <c r="J265" s="120">
        <v>7312800</v>
      </c>
      <c r="K265" s="120">
        <v>6629800</v>
      </c>
    </row>
    <row r="266" spans="1:12" s="69" customFormat="1">
      <c r="A266" s="121" t="s">
        <v>18</v>
      </c>
      <c r="B266" s="122">
        <v>18205000</v>
      </c>
      <c r="C266" s="122">
        <v>14683100</v>
      </c>
      <c r="D266" s="122">
        <v>14921500</v>
      </c>
      <c r="E266" s="122">
        <v>15567200</v>
      </c>
      <c r="F266" s="122">
        <v>16801100</v>
      </c>
      <c r="G266" s="122">
        <v>18125700</v>
      </c>
      <c r="H266" s="122">
        <v>17598300</v>
      </c>
      <c r="I266" s="122">
        <v>19056500</v>
      </c>
      <c r="J266" s="122">
        <v>21005600</v>
      </c>
      <c r="K266" s="122">
        <v>21911600</v>
      </c>
    </row>
    <row r="267" spans="1:12">
      <c r="A267" s="119" t="s">
        <v>19</v>
      </c>
      <c r="B267" s="120">
        <v>7125600</v>
      </c>
      <c r="C267" s="120">
        <v>6620800</v>
      </c>
      <c r="D267" s="120">
        <v>6533000</v>
      </c>
      <c r="E267" s="120">
        <v>6452000</v>
      </c>
      <c r="F267" s="120">
        <v>6588100</v>
      </c>
      <c r="G267" s="120">
        <v>6631800</v>
      </c>
      <c r="H267" s="120">
        <v>6213800</v>
      </c>
      <c r="I267" s="120">
        <v>6121200</v>
      </c>
      <c r="J267" s="120">
        <v>6431600</v>
      </c>
      <c r="K267" s="120">
        <v>6440400</v>
      </c>
    </row>
    <row r="268" spans="1:12">
      <c r="A268" s="119" t="s">
        <v>20</v>
      </c>
      <c r="B268" s="120">
        <v>5588400</v>
      </c>
      <c r="C268" s="120">
        <v>4933800</v>
      </c>
      <c r="D268" s="120">
        <v>5331400</v>
      </c>
      <c r="E268" s="120">
        <v>5273900</v>
      </c>
      <c r="F268" s="120">
        <v>6394400</v>
      </c>
      <c r="G268" s="120">
        <v>7291000</v>
      </c>
      <c r="H268" s="120">
        <v>5834600</v>
      </c>
      <c r="I268" s="120">
        <v>6746100</v>
      </c>
      <c r="J268" s="120">
        <v>7900800</v>
      </c>
      <c r="K268" s="120">
        <v>8099300</v>
      </c>
    </row>
    <row r="269" spans="1:12">
      <c r="A269" s="119" t="s">
        <v>23</v>
      </c>
      <c r="B269" s="120">
        <v>-438700</v>
      </c>
      <c r="C269" s="120">
        <v>100400</v>
      </c>
      <c r="D269" s="120">
        <v>192900</v>
      </c>
      <c r="E269" s="120">
        <v>390800</v>
      </c>
      <c r="F269" s="120">
        <v>1563500</v>
      </c>
      <c r="G269" s="120">
        <v>538500</v>
      </c>
      <c r="H269" s="120">
        <v>231000</v>
      </c>
      <c r="I269" s="120">
        <v>-1115500</v>
      </c>
      <c r="J269" s="120">
        <v>264700</v>
      </c>
      <c r="K269" s="120">
        <v>258900</v>
      </c>
    </row>
    <row r="270" spans="1:12">
      <c r="A270" s="119" t="s">
        <v>24</v>
      </c>
      <c r="B270" s="120">
        <v>12275300</v>
      </c>
      <c r="C270" s="120">
        <v>11655000</v>
      </c>
      <c r="D270" s="120">
        <v>12057300</v>
      </c>
      <c r="E270" s="120">
        <v>12116700</v>
      </c>
      <c r="F270" s="120">
        <v>14546000</v>
      </c>
      <c r="G270" s="120">
        <v>14461300</v>
      </c>
      <c r="H270" s="120">
        <v>12279400</v>
      </c>
      <c r="I270" s="120">
        <v>11751800</v>
      </c>
      <c r="J270" s="120">
        <v>14597100</v>
      </c>
      <c r="K270" s="120">
        <v>14798600</v>
      </c>
    </row>
    <row r="271" spans="1:12">
      <c r="A271" s="119" t="s">
        <v>25</v>
      </c>
      <c r="B271" s="120">
        <v>5929700</v>
      </c>
      <c r="C271" s="120">
        <v>3028100</v>
      </c>
      <c r="D271" s="120">
        <v>2864200</v>
      </c>
      <c r="E271" s="120">
        <v>3450500</v>
      </c>
      <c r="F271" s="120">
        <v>2255100</v>
      </c>
      <c r="G271" s="120">
        <v>3664400</v>
      </c>
      <c r="H271" s="120">
        <v>5318900</v>
      </c>
      <c r="I271" s="120">
        <v>7304700</v>
      </c>
      <c r="J271" s="120">
        <v>6408500</v>
      </c>
      <c r="K271" s="120">
        <v>7113000</v>
      </c>
    </row>
    <row r="272" spans="1:12">
      <c r="A272" s="119" t="s">
        <v>26</v>
      </c>
      <c r="B272" s="120">
        <v>-40400</v>
      </c>
      <c r="C272" s="120">
        <v>-27800</v>
      </c>
      <c r="D272" s="120">
        <v>-74200</v>
      </c>
      <c r="E272" s="120">
        <v>-76500</v>
      </c>
      <c r="F272" s="120">
        <v>-57700</v>
      </c>
      <c r="G272" s="120">
        <v>-110800</v>
      </c>
      <c r="H272" s="120">
        <v>-320200</v>
      </c>
      <c r="I272" s="120">
        <v>-326600</v>
      </c>
      <c r="J272" s="120">
        <v>-314400</v>
      </c>
      <c r="K272" s="120">
        <v>-268800</v>
      </c>
    </row>
    <row r="273" spans="1:11">
      <c r="A273" s="119" t="s">
        <v>318</v>
      </c>
      <c r="B273" s="123" t="s">
        <v>22</v>
      </c>
      <c r="C273" s="123" t="s">
        <v>22</v>
      </c>
      <c r="D273" s="123" t="s">
        <v>22</v>
      </c>
      <c r="E273" s="123" t="s">
        <v>22</v>
      </c>
      <c r="F273" s="123" t="s">
        <v>22</v>
      </c>
      <c r="G273" s="123" t="s">
        <v>22</v>
      </c>
      <c r="H273" s="120">
        <v>309800</v>
      </c>
      <c r="I273" s="123" t="s">
        <v>22</v>
      </c>
      <c r="J273" s="120">
        <v>176900</v>
      </c>
      <c r="K273" s="120">
        <v>-410700</v>
      </c>
    </row>
    <row r="274" spans="1:11">
      <c r="A274" s="119" t="s">
        <v>27</v>
      </c>
      <c r="B274" s="120">
        <v>0</v>
      </c>
      <c r="C274" s="120">
        <v>0</v>
      </c>
      <c r="D274" s="120">
        <v>0</v>
      </c>
      <c r="E274" s="120">
        <v>0</v>
      </c>
      <c r="F274" s="120">
        <v>0</v>
      </c>
      <c r="G274" s="120">
        <v>242100</v>
      </c>
      <c r="H274" s="120">
        <v>-42600</v>
      </c>
      <c r="I274" s="120">
        <v>251800</v>
      </c>
      <c r="J274" s="120">
        <v>-115500</v>
      </c>
      <c r="K274" s="120">
        <v>372900</v>
      </c>
    </row>
    <row r="275" spans="1:11">
      <c r="A275" s="119" t="s">
        <v>28</v>
      </c>
      <c r="B275" s="120">
        <v>-40400</v>
      </c>
      <c r="C275" s="120">
        <v>-27800</v>
      </c>
      <c r="D275" s="120">
        <v>-74200</v>
      </c>
      <c r="E275" s="120">
        <v>-76500</v>
      </c>
      <c r="F275" s="120">
        <v>-57700</v>
      </c>
      <c r="G275" s="120">
        <v>131300</v>
      </c>
      <c r="H275" s="120">
        <v>-53000</v>
      </c>
      <c r="I275" s="120">
        <v>-74800</v>
      </c>
      <c r="J275" s="120">
        <v>-253000</v>
      </c>
      <c r="K275" s="120">
        <v>-306600</v>
      </c>
    </row>
    <row r="276" spans="1:11">
      <c r="A276" s="119" t="s">
        <v>29</v>
      </c>
      <c r="B276" s="120">
        <v>5889300</v>
      </c>
      <c r="C276" s="120">
        <v>3000300</v>
      </c>
      <c r="D276" s="120">
        <v>2790000</v>
      </c>
      <c r="E276" s="120">
        <v>3374000</v>
      </c>
      <c r="F276" s="120">
        <v>2197400</v>
      </c>
      <c r="G276" s="120">
        <v>3795700</v>
      </c>
      <c r="H276" s="120">
        <v>5265900</v>
      </c>
      <c r="I276" s="120">
        <v>7229900</v>
      </c>
      <c r="J276" s="120">
        <v>6155500</v>
      </c>
      <c r="K276" s="120">
        <v>6806400</v>
      </c>
    </row>
    <row r="277" spans="1:11">
      <c r="A277" s="119" t="s">
        <v>30</v>
      </c>
      <c r="B277" s="120">
        <v>1204500</v>
      </c>
      <c r="C277" s="120">
        <v>609800</v>
      </c>
      <c r="D277" s="120">
        <v>381600</v>
      </c>
      <c r="E277" s="120">
        <v>636400</v>
      </c>
      <c r="F277" s="120">
        <v>2401500</v>
      </c>
      <c r="G277" s="120">
        <v>563700</v>
      </c>
      <c r="H277" s="120">
        <v>628000</v>
      </c>
      <c r="I277" s="120">
        <v>1036200</v>
      </c>
      <c r="J277" s="120">
        <v>573800</v>
      </c>
      <c r="K277" s="120">
        <v>561600</v>
      </c>
    </row>
    <row r="278" spans="1:11">
      <c r="A278" s="119" t="s">
        <v>324</v>
      </c>
      <c r="B278" s="123" t="s">
        <v>22</v>
      </c>
      <c r="C278" s="123" t="s">
        <v>22</v>
      </c>
      <c r="D278" s="123" t="s">
        <v>22</v>
      </c>
      <c r="E278" s="123" t="s">
        <v>22</v>
      </c>
      <c r="F278" s="123" t="s">
        <v>22</v>
      </c>
      <c r="G278" s="123" t="s">
        <v>22</v>
      </c>
      <c r="H278" s="120">
        <v>4637900</v>
      </c>
      <c r="I278" s="120">
        <v>6193700</v>
      </c>
      <c r="J278" s="120">
        <v>5581700</v>
      </c>
      <c r="K278" s="123" t="s">
        <v>22</v>
      </c>
    </row>
    <row r="279" spans="1:11">
      <c r="A279" s="119" t="s">
        <v>319</v>
      </c>
      <c r="B279" s="123" t="s">
        <v>22</v>
      </c>
      <c r="C279" s="123" t="s">
        <v>22</v>
      </c>
      <c r="D279" s="123" t="s">
        <v>22</v>
      </c>
      <c r="E279" s="123" t="s">
        <v>22</v>
      </c>
      <c r="F279" s="123" t="s">
        <v>22</v>
      </c>
      <c r="G279" s="123" t="s">
        <v>22</v>
      </c>
      <c r="H279" s="120">
        <v>3680500</v>
      </c>
      <c r="I279" s="123" t="s">
        <v>22</v>
      </c>
      <c r="J279" s="123" t="s">
        <v>22</v>
      </c>
      <c r="K279" s="123" t="s">
        <v>22</v>
      </c>
    </row>
    <row r="280" spans="1:11">
      <c r="A280" s="119" t="s">
        <v>31</v>
      </c>
      <c r="B280" s="120">
        <v>0</v>
      </c>
      <c r="C280" s="120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0</v>
      </c>
      <c r="K280" s="120">
        <v>0</v>
      </c>
    </row>
    <row r="281" spans="1:11">
      <c r="A281" s="119" t="s">
        <v>32</v>
      </c>
      <c r="B281" s="120">
        <v>0</v>
      </c>
      <c r="C281" s="120">
        <v>0</v>
      </c>
      <c r="D281" s="120">
        <v>0</v>
      </c>
      <c r="E281" s="120">
        <v>0</v>
      </c>
      <c r="F281" s="120">
        <v>0</v>
      </c>
      <c r="G281" s="120">
        <v>0</v>
      </c>
      <c r="H281" s="120">
        <v>0</v>
      </c>
      <c r="I281" s="120">
        <v>0</v>
      </c>
      <c r="J281" s="120">
        <v>0</v>
      </c>
      <c r="K281" s="120">
        <v>0</v>
      </c>
    </row>
    <row r="282" spans="1:11" s="69" customFormat="1">
      <c r="A282" s="121" t="s">
        <v>33</v>
      </c>
      <c r="B282" s="122">
        <v>4684800</v>
      </c>
      <c r="C282" s="122">
        <v>2390500</v>
      </c>
      <c r="D282" s="122">
        <v>2408400</v>
      </c>
      <c r="E282" s="122">
        <v>2737600</v>
      </c>
      <c r="F282" s="122">
        <v>-204100</v>
      </c>
      <c r="G282" s="122">
        <v>3232000</v>
      </c>
      <c r="H282" s="122">
        <v>8318400</v>
      </c>
      <c r="I282" s="122">
        <v>6193700</v>
      </c>
      <c r="J282" s="122">
        <v>5581700</v>
      </c>
      <c r="K282" s="122">
        <v>6244800</v>
      </c>
    </row>
    <row r="283" spans="1:11" s="69" customFormat="1">
      <c r="A283" s="121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</row>
    <row r="284" spans="1:11">
      <c r="A284" s="119" t="s">
        <v>34</v>
      </c>
      <c r="B284" s="125">
        <v>0</v>
      </c>
      <c r="C284" s="125">
        <v>0</v>
      </c>
      <c r="D284" s="125">
        <v>0</v>
      </c>
      <c r="E284" s="125">
        <v>0</v>
      </c>
      <c r="F284" s="125">
        <v>0</v>
      </c>
      <c r="G284" s="125">
        <v>0</v>
      </c>
      <c r="H284" s="125">
        <v>0</v>
      </c>
      <c r="I284" s="125">
        <v>0</v>
      </c>
      <c r="J284" s="125">
        <v>0</v>
      </c>
      <c r="K284" s="125">
        <v>0</v>
      </c>
    </row>
    <row r="285" spans="1:11">
      <c r="A285" s="119" t="s">
        <v>35</v>
      </c>
      <c r="B285" s="125">
        <v>4684800</v>
      </c>
      <c r="C285" s="125">
        <v>2390500</v>
      </c>
      <c r="D285" s="125">
        <v>2408400</v>
      </c>
      <c r="E285" s="125">
        <v>2737600</v>
      </c>
      <c r="F285" s="125">
        <v>-204100</v>
      </c>
      <c r="G285" s="125">
        <v>3232000</v>
      </c>
      <c r="H285" s="125">
        <v>8318400</v>
      </c>
      <c r="I285" s="125">
        <v>6193700</v>
      </c>
      <c r="J285" s="125">
        <v>5581700</v>
      </c>
      <c r="K285" s="125">
        <v>6244800</v>
      </c>
    </row>
    <row r="286" spans="1:11">
      <c r="A286" s="119" t="s">
        <v>36</v>
      </c>
      <c r="B286" s="125">
        <v>1080874</v>
      </c>
      <c r="C286" s="125">
        <v>1069932</v>
      </c>
      <c r="D286" s="125">
        <v>1061913</v>
      </c>
      <c r="E286" s="125">
        <v>1058324</v>
      </c>
      <c r="F286" s="125">
        <v>1052023</v>
      </c>
      <c r="G286" s="125">
        <v>1027721</v>
      </c>
      <c r="H286" s="125">
        <v>931059</v>
      </c>
      <c r="I286" s="125">
        <v>907634</v>
      </c>
      <c r="J286" s="125">
        <v>906963</v>
      </c>
      <c r="K286" s="125">
        <v>901736</v>
      </c>
    </row>
    <row r="287" spans="1:11">
      <c r="A287" s="119" t="s">
        <v>37</v>
      </c>
      <c r="B287" s="127">
        <v>4.33</v>
      </c>
      <c r="C287" s="127">
        <v>2.23</v>
      </c>
      <c r="D287" s="127">
        <v>2.27</v>
      </c>
      <c r="E287" s="127">
        <v>2.59</v>
      </c>
      <c r="F287" s="127">
        <v>-0.19</v>
      </c>
      <c r="G287" s="127">
        <v>3.14</v>
      </c>
      <c r="H287" s="127">
        <v>8.93</v>
      </c>
      <c r="I287" s="127">
        <v>6.82</v>
      </c>
      <c r="J287" s="127">
        <v>6.15</v>
      </c>
      <c r="K287" s="127">
        <v>6.93</v>
      </c>
    </row>
    <row r="288" spans="1:11">
      <c r="A288" s="119" t="s">
        <v>38</v>
      </c>
      <c r="B288" s="127">
        <v>4.33</v>
      </c>
      <c r="C288" s="127">
        <v>2.23</v>
      </c>
      <c r="D288" s="127">
        <v>2.27</v>
      </c>
      <c r="E288" s="127">
        <v>2.59</v>
      </c>
      <c r="F288" s="127">
        <v>-0.19</v>
      </c>
      <c r="G288" s="127">
        <v>3.14</v>
      </c>
      <c r="H288" s="127">
        <v>4.9800000000000004</v>
      </c>
      <c r="I288" s="127">
        <v>6.82</v>
      </c>
      <c r="J288" s="127">
        <v>6.15</v>
      </c>
      <c r="K288" s="127">
        <v>6.93</v>
      </c>
    </row>
    <row r="289" spans="1:11">
      <c r="A289" s="119" t="s">
        <v>39</v>
      </c>
      <c r="B289" s="125">
        <v>1084766</v>
      </c>
      <c r="C289" s="125">
        <v>1074286</v>
      </c>
      <c r="D289" s="125">
        <v>1065720</v>
      </c>
      <c r="E289" s="125">
        <v>1061825</v>
      </c>
      <c r="F289" s="125">
        <v>1052023</v>
      </c>
      <c r="G289" s="125">
        <v>1033667</v>
      </c>
      <c r="H289" s="125">
        <v>935684</v>
      </c>
      <c r="I289" s="125">
        <v>912505</v>
      </c>
      <c r="J289" s="125">
        <v>911681</v>
      </c>
      <c r="K289" s="125">
        <v>904619</v>
      </c>
    </row>
    <row r="290" spans="1:11">
      <c r="A290" s="119" t="s">
        <v>40</v>
      </c>
      <c r="B290" s="127">
        <v>4.32</v>
      </c>
      <c r="C290" s="127">
        <v>2.23</v>
      </c>
      <c r="D290" s="127">
        <v>2.2599999999999998</v>
      </c>
      <c r="E290" s="127">
        <v>2.58</v>
      </c>
      <c r="F290" s="127">
        <v>-0.19</v>
      </c>
      <c r="G290" s="127">
        <v>3.13</v>
      </c>
      <c r="H290" s="127">
        <v>8.89</v>
      </c>
      <c r="I290" s="127">
        <v>6.79</v>
      </c>
      <c r="J290" s="127">
        <v>6.12</v>
      </c>
      <c r="K290" s="126">
        <v>6.9</v>
      </c>
    </row>
    <row r="291" spans="1:11">
      <c r="A291" s="119" t="s">
        <v>41</v>
      </c>
      <c r="B291" s="127">
        <v>4.32</v>
      </c>
      <c r="C291" s="127">
        <v>2.23</v>
      </c>
      <c r="D291" s="127">
        <v>2.2599999999999998</v>
      </c>
      <c r="E291" s="127">
        <v>2.58</v>
      </c>
      <c r="F291" s="127">
        <v>-0.19</v>
      </c>
      <c r="G291" s="127">
        <v>3.13</v>
      </c>
      <c r="H291" s="127">
        <v>4.96</v>
      </c>
      <c r="I291" s="127">
        <v>6.79</v>
      </c>
      <c r="J291" s="127">
        <v>6.12</v>
      </c>
      <c r="K291" s="126">
        <v>6.9</v>
      </c>
    </row>
    <row r="292" spans="1:11">
      <c r="A292" s="119" t="s">
        <v>42</v>
      </c>
      <c r="B292" s="125">
        <v>1116795</v>
      </c>
      <c r="C292" s="125">
        <v>1110627</v>
      </c>
      <c r="D292" s="125">
        <v>1105267</v>
      </c>
      <c r="E292" s="125">
        <v>1100875</v>
      </c>
      <c r="F292" s="125">
        <v>1100008</v>
      </c>
      <c r="G292" s="125">
        <v>1057035</v>
      </c>
      <c r="H292" s="125">
        <v>957526</v>
      </c>
      <c r="I292" s="125">
        <v>956590</v>
      </c>
      <c r="J292" s="125">
        <v>953653</v>
      </c>
      <c r="K292" s="125">
        <v>950182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FED9-2C4F-4CA1-AF92-F0C62A042DF8}">
  <dimension ref="A1:M46"/>
  <sheetViews>
    <sheetView workbookViewId="0">
      <selection activeCell="J13" sqref="J13:K13"/>
    </sheetView>
  </sheetViews>
  <sheetFormatPr baseColWidth="10" defaultColWidth="8.83203125" defaultRowHeight="13"/>
  <cols>
    <col min="1" max="1" width="25.83203125" customWidth="1"/>
  </cols>
  <sheetData>
    <row r="1" spans="1:13" s="17" customFormat="1"/>
    <row r="2" spans="1:13" s="17" customFormat="1"/>
    <row r="3" spans="1:13" s="17" customFormat="1"/>
    <row r="4" spans="1:13" s="17" customFormat="1">
      <c r="A4" s="18" t="s">
        <v>107</v>
      </c>
      <c r="L4" s="17">
        <v>2023</v>
      </c>
    </row>
    <row r="5" spans="1:13" s="17" customFormat="1" ht="20">
      <c r="A5" s="19" t="s">
        <v>108</v>
      </c>
      <c r="L5" s="17">
        <v>4.0999999999999996</v>
      </c>
    </row>
    <row r="6" spans="1:13" s="17" customFormat="1">
      <c r="A6" s="17" t="s">
        <v>145</v>
      </c>
      <c r="B6" s="17">
        <v>1.5</v>
      </c>
      <c r="C6" s="17">
        <v>1.6</v>
      </c>
      <c r="D6" s="17">
        <v>0.1</v>
      </c>
      <c r="E6" s="17">
        <v>1.3</v>
      </c>
      <c r="F6" s="17">
        <v>2.1</v>
      </c>
      <c r="G6" s="17">
        <v>2.4</v>
      </c>
      <c r="H6" s="17">
        <v>1.8</v>
      </c>
      <c r="I6" s="17">
        <v>1.2</v>
      </c>
      <c r="J6" s="17">
        <v>4.7</v>
      </c>
      <c r="K6" s="17">
        <v>8.1</v>
      </c>
      <c r="L6" s="17">
        <f>AVERAGE(B6:K6)</f>
        <v>2.4799999999999995</v>
      </c>
    </row>
    <row r="7" spans="1:13">
      <c r="A7" t="s">
        <v>144</v>
      </c>
      <c r="C7" s="9">
        <v>4.2335090868297058E-2</v>
      </c>
      <c r="D7" s="9">
        <v>-5.7270856035839687E-2</v>
      </c>
      <c r="E7" s="9">
        <v>2.5915460798584353E-2</v>
      </c>
      <c r="F7" s="9">
        <v>6.3430240645430513E-2</v>
      </c>
      <c r="G7" s="9">
        <v>6.7115761935905821E-2</v>
      </c>
      <c r="H7" s="9">
        <v>5.8592074134908865E-3</v>
      </c>
      <c r="I7" s="9">
        <v>6.3978357035791317E-3</v>
      </c>
      <c r="J7" s="9">
        <v>0.13551051051051052</v>
      </c>
      <c r="K7" s="9">
        <v>1.2455345241268996E-2</v>
      </c>
      <c r="L7" s="44">
        <v>3.3527621897914174E-2</v>
      </c>
    </row>
    <row r="8" spans="1:13">
      <c r="A8" s="8" t="s">
        <v>79</v>
      </c>
      <c r="B8" s="22">
        <v>2013</v>
      </c>
      <c r="C8" s="22">
        <v>2014</v>
      </c>
      <c r="D8" s="22">
        <f>C8+1</f>
        <v>2015</v>
      </c>
      <c r="E8" s="22">
        <f t="shared" ref="E8:K8" si="0">D8+1</f>
        <v>2016</v>
      </c>
      <c r="F8" s="22">
        <f t="shared" si="0"/>
        <v>2017</v>
      </c>
      <c r="G8" s="22">
        <f t="shared" si="0"/>
        <v>2018</v>
      </c>
      <c r="H8" s="22">
        <f t="shared" si="0"/>
        <v>2019</v>
      </c>
      <c r="I8" s="22">
        <f t="shared" si="0"/>
        <v>2020</v>
      </c>
      <c r="J8" s="22">
        <f t="shared" si="0"/>
        <v>2021</v>
      </c>
      <c r="K8" s="22">
        <f t="shared" si="0"/>
        <v>2022</v>
      </c>
      <c r="L8" s="26" t="s">
        <v>111</v>
      </c>
    </row>
    <row r="9" spans="1:13">
      <c r="A9" s="3" t="s">
        <v>15</v>
      </c>
      <c r="B9" s="10">
        <f>IS!B14/IS!B$15</f>
        <v>1</v>
      </c>
      <c r="C9" s="10">
        <f>IS!C14/IS!C$15</f>
        <v>1</v>
      </c>
      <c r="D9" s="10">
        <f>IS!D14/IS!D$15</f>
        <v>1</v>
      </c>
      <c r="E9" s="10">
        <f>IS!E14/IS!E$15</f>
        <v>1</v>
      </c>
      <c r="F9" s="10">
        <f>IS!F14/IS!F$15</f>
        <v>1</v>
      </c>
      <c r="G9" s="10">
        <f>IS!G14/IS!G$15</f>
        <v>1</v>
      </c>
      <c r="H9" s="10">
        <f>IS!H14/IS!H$15</f>
        <v>1</v>
      </c>
      <c r="I9" s="10">
        <f>IS!I14/IS!I$15</f>
        <v>1</v>
      </c>
      <c r="J9" s="10">
        <f>IS!J14/IS!J$15</f>
        <v>1</v>
      </c>
      <c r="K9" s="10">
        <f>IS!K14/IS!K$15</f>
        <v>1</v>
      </c>
      <c r="L9" s="10">
        <f>AVERAGE(B9:K9)</f>
        <v>1</v>
      </c>
    </row>
    <row r="10" spans="1:13">
      <c r="A10" s="3" t="s">
        <v>16</v>
      </c>
      <c r="B10" s="10">
        <f>IS!B15/IS!B$15</f>
        <v>1</v>
      </c>
      <c r="C10" s="10">
        <f>IS!C15/IS!C$15</f>
        <v>1</v>
      </c>
      <c r="D10" s="10">
        <f>IS!D15/IS!D$15</f>
        <v>1</v>
      </c>
      <c r="E10" s="10">
        <f>IS!E15/IS!E$15</f>
        <v>1</v>
      </c>
      <c r="F10" s="10">
        <f>IS!F15/IS!F$15</f>
        <v>1</v>
      </c>
      <c r="G10" s="10">
        <f>IS!G15/IS!G$15</f>
        <v>1</v>
      </c>
      <c r="H10" s="10">
        <f>IS!H15/IS!H$15</f>
        <v>1</v>
      </c>
      <c r="I10" s="10">
        <f>IS!I15/IS!I$15</f>
        <v>1</v>
      </c>
      <c r="J10" s="10">
        <f>IS!J15/IS!J$15</f>
        <v>1</v>
      </c>
      <c r="K10" s="10">
        <f>IS!K15/IS!K$15</f>
        <v>1</v>
      </c>
      <c r="L10" s="10">
        <f t="shared" ref="L10:L26" si="1">AVERAGE(B10:K10)</f>
        <v>1</v>
      </c>
    </row>
    <row r="11" spans="1:13" s="22" customFormat="1">
      <c r="A11" s="21" t="s">
        <v>17</v>
      </c>
      <c r="B11" s="32">
        <f>IS!B16/IS!B$15</f>
        <v>0.31329930446488669</v>
      </c>
      <c r="C11" s="32">
        <f>IS!C16/IS!C$15</f>
        <v>0.30600960568268959</v>
      </c>
      <c r="D11" s="32">
        <f>IS!D16/IS!D$15</f>
        <v>0.30733224876559068</v>
      </c>
      <c r="E11" s="32">
        <f>IS!E16/IS!E$15</f>
        <v>0.30164139657810546</v>
      </c>
      <c r="F11" s="32">
        <f>IS!F16/IS!F$15</f>
        <v>0.33164159581425767</v>
      </c>
      <c r="G11" s="32">
        <f>IS!G16/IS!G$15</f>
        <v>0.33207487037422928</v>
      </c>
      <c r="H11" s="32">
        <f>IS!H16/IS!H$15</f>
        <v>0.33580716313871728</v>
      </c>
      <c r="I11" s="32">
        <f>IS!I16/IS!I$15</f>
        <v>0.34421921921921922</v>
      </c>
      <c r="J11" s="32">
        <f>IS!J16/IS!J$15</f>
        <v>0.31836843508397761</v>
      </c>
      <c r="K11" s="32">
        <f>IS!K16/IS!K$15</f>
        <v>0.32744910103957109</v>
      </c>
      <c r="L11" s="32">
        <f t="shared" si="1"/>
        <v>0.32178429401612446</v>
      </c>
      <c r="M11" s="32"/>
    </row>
    <row r="12" spans="1:13">
      <c r="A12" s="3" t="s">
        <v>18</v>
      </c>
      <c r="B12" s="10">
        <f>IS!B17/IS!B$15</f>
        <v>0.68670069553511326</v>
      </c>
      <c r="C12" s="10">
        <f>IS!C17/IS!C$15</f>
        <v>0.69399039431731036</v>
      </c>
      <c r="D12" s="10">
        <f>IS!D17/IS!D$15</f>
        <v>0.69266775123440938</v>
      </c>
      <c r="E12" s="10">
        <f>IS!E17/IS!E$15</f>
        <v>0.6983586034218946</v>
      </c>
      <c r="F12" s="10">
        <f>IS!F17/IS!F$15</f>
        <v>0.66835840418574233</v>
      </c>
      <c r="G12" s="10">
        <f>IS!G17/IS!G$15</f>
        <v>0.66792512962577066</v>
      </c>
      <c r="H12" s="10">
        <f>IS!H17/IS!H$15</f>
        <v>0.66419283686128272</v>
      </c>
      <c r="I12" s="10">
        <f>IS!I17/IS!I$15</f>
        <v>0.65578078078078073</v>
      </c>
      <c r="J12" s="10">
        <f>IS!J17/IS!J$15</f>
        <v>0.68163156491602239</v>
      </c>
      <c r="K12" s="10">
        <f>IS!K17/IS!K$15</f>
        <v>0.67255089896042886</v>
      </c>
      <c r="L12" s="10">
        <f t="shared" si="1"/>
        <v>0.67821570598387548</v>
      </c>
    </row>
    <row r="13" spans="1:13" s="22" customFormat="1">
      <c r="A13" s="21" t="s">
        <v>84</v>
      </c>
      <c r="B13" s="32">
        <f>IS!B18/IS!B$15</f>
        <v>0.30611958716625531</v>
      </c>
      <c r="C13" s="32">
        <f>IS!C18/IS!C$15</f>
        <v>0.29535456269927757</v>
      </c>
      <c r="D13" s="32">
        <f>IS!D18/IS!D$15</f>
        <v>0.30258012957730401</v>
      </c>
      <c r="E13" s="32">
        <f>IS!E18/IS!E$15</f>
        <v>0.2774377521212964</v>
      </c>
      <c r="F13" s="32">
        <f>IS!F18/IS!F$15</f>
        <v>0.28018312622629171</v>
      </c>
      <c r="G13" s="32">
        <f>IS!G18/IS!G$15</f>
        <v>0.27628982238511418</v>
      </c>
      <c r="H13" s="32">
        <f>IS!H18/IS!H$15</f>
        <v>0.27026895282662472</v>
      </c>
      <c r="I13" s="32">
        <f>IS!I18/IS!I$15</f>
        <v>0.26741257386418676</v>
      </c>
      <c r="J13" s="32">
        <f>IS!J18/IS!J$15</f>
        <v>0.26295921087709945</v>
      </c>
      <c r="K13" s="32">
        <f>IS!K18/IS!K$15</f>
        <v>0.26084071495528899</v>
      </c>
      <c r="L13" s="32">
        <f t="shared" si="1"/>
        <v>0.27994464326987389</v>
      </c>
    </row>
    <row r="14" spans="1:13" s="22" customFormat="1">
      <c r="A14" s="21" t="s">
        <v>20</v>
      </c>
      <c r="B14" s="32">
        <f>IS!B19/IS!B$15</f>
        <v>0.1228825443123177</v>
      </c>
      <c r="C14" s="32">
        <f>IS!C19/IS!C$15</f>
        <v>0.11666733933352168</v>
      </c>
      <c r="D14" s="32">
        <f>IS!D19/IS!D$15</f>
        <v>0.13228872334960184</v>
      </c>
      <c r="E14" s="32">
        <f>IS!E19/IS!E$15</f>
        <v>0.12691612185283072</v>
      </c>
      <c r="F14" s="32">
        <f>IS!F19/IS!F$15</f>
        <v>0.14338783518639633</v>
      </c>
      <c r="G14" s="32">
        <f>IS!G19/IS!G$15</f>
        <v>0.14587955528860888</v>
      </c>
      <c r="H14" s="32">
        <f>IS!H19/IS!H$15</f>
        <v>0.14922190131490756</v>
      </c>
      <c r="I14" s="32">
        <f>IS!I19/IS!I$15</f>
        <v>0.14942361716555264</v>
      </c>
      <c r="J14" s="32">
        <f>IS!J19/IS!J$15</f>
        <v>0.16650493201812849</v>
      </c>
      <c r="K14" s="32">
        <f>IS!K19/IS!K$15</f>
        <v>0.16205512781353024</v>
      </c>
      <c r="L14" s="32">
        <f t="shared" si="1"/>
        <v>0.14152276976353959</v>
      </c>
    </row>
    <row r="15" spans="1:13">
      <c r="A15" s="12" t="s">
        <v>83</v>
      </c>
      <c r="B15" s="11" t="s">
        <v>81</v>
      </c>
      <c r="C15" s="11" t="s">
        <v>81</v>
      </c>
      <c r="D15" s="9">
        <f>IS!D20/IS!D$15</f>
        <v>7.2637497502640062E-3</v>
      </c>
      <c r="E15" s="9">
        <f>IS!E20/IS!E$15</f>
        <v>6.8298789817777157E-3</v>
      </c>
      <c r="F15" s="9">
        <f>IS!F20/IS!F$15</f>
        <v>4.0418574231523875E-3</v>
      </c>
      <c r="G15" s="9">
        <f>IS!G20/IS!G$15</f>
        <v>3.0766967798874739E-3</v>
      </c>
      <c r="H15" s="9">
        <f>IS!H20/IS!H$15</f>
        <v>3.2415700898134271E-3</v>
      </c>
      <c r="I15" s="9">
        <f>IS!I20/IS!I$15</f>
        <v>2.9908941199263779E-3</v>
      </c>
      <c r="J15" s="9">
        <f>IS!J20/IS!J$15</f>
        <v>2.6872833910957078E-3</v>
      </c>
      <c r="K15" s="9">
        <f>IS!K20/IS!K$15</f>
        <v>3.3809759539934485E-3</v>
      </c>
      <c r="L15" s="9">
        <f t="shared" si="1"/>
        <v>4.1891133112388181E-3</v>
      </c>
    </row>
    <row r="16" spans="1:13">
      <c r="A16" s="3" t="s">
        <v>23</v>
      </c>
      <c r="B16" s="10">
        <f>IS!B21/IS!B$15</f>
        <v>0</v>
      </c>
      <c r="C16" s="10">
        <f>IS!C21/IS!C$15</f>
        <v>0</v>
      </c>
      <c r="D16" s="10">
        <f>IS!D21/IS!D$15</f>
        <v>0</v>
      </c>
      <c r="E16" s="10">
        <f>IS!E21/IS!E$15</f>
        <v>0</v>
      </c>
      <c r="F16" s="10">
        <f>IS!F21/IS!F$15</f>
        <v>0</v>
      </c>
      <c r="G16" s="10">
        <f>IS!G21/IS!G$15</f>
        <v>0</v>
      </c>
      <c r="H16" s="10">
        <f>IS!H21/IS!H$15</f>
        <v>0</v>
      </c>
      <c r="I16" s="10">
        <f>IS!I21/IS!I$15</f>
        <v>0</v>
      </c>
      <c r="J16" s="10">
        <f>IS!J21/IS!J$15</f>
        <v>0</v>
      </c>
      <c r="K16" s="10">
        <f>IS!K21/IS!K$15</f>
        <v>0</v>
      </c>
      <c r="L16" s="10">
        <f t="shared" si="1"/>
        <v>0</v>
      </c>
    </row>
    <row r="17" spans="1:12">
      <c r="A17" s="3" t="s">
        <v>24</v>
      </c>
      <c r="B17" s="10">
        <f>IS!B22/IS!B$15</f>
        <v>0.42900213147857302</v>
      </c>
      <c r="C17" s="10">
        <f>IS!C22/IS!C$15</f>
        <v>0.41202190203279926</v>
      </c>
      <c r="D17" s="10">
        <f>IS!D22/IS!D$15</f>
        <v>0.44213260267716986</v>
      </c>
      <c r="E17" s="10">
        <f>IS!E22/IS!E$15</f>
        <v>0.41118375295590487</v>
      </c>
      <c r="F17" s="10">
        <f>IS!F22/IS!F$15</f>
        <v>0.4276128188358404</v>
      </c>
      <c r="G17" s="10">
        <f>IS!G22/IS!G$15</f>
        <v>0.42524607445361051</v>
      </c>
      <c r="H17" s="10">
        <f>IS!H22/IS!H$15</f>
        <v>0.42273242423134572</v>
      </c>
      <c r="I17" s="10">
        <f>IS!I22/IS!I$15</f>
        <v>0.41982708514966577</v>
      </c>
      <c r="J17" s="10">
        <f>IS!J22/IS!J$15</f>
        <v>0.43215142628632364</v>
      </c>
      <c r="K17" s="10">
        <f>IS!K22/IS!K$15</f>
        <v>0.42627681872281264</v>
      </c>
      <c r="L17" s="10">
        <f t="shared" si="1"/>
        <v>0.4248187036824046</v>
      </c>
    </row>
    <row r="18" spans="1:12">
      <c r="A18" s="3" t="s">
        <v>25</v>
      </c>
      <c r="B18" s="10">
        <f>IS!B23/IS!B$15</f>
        <v>0.25769856405654029</v>
      </c>
      <c r="C18" s="10">
        <f>IS!C23/IS!C$15</f>
        <v>0.28196849228451115</v>
      </c>
      <c r="D18" s="10">
        <f>IS!D23/IS!D$15</f>
        <v>0.25053514855723946</v>
      </c>
      <c r="E18" s="10">
        <f>IS!E23/IS!E$15</f>
        <v>0.28717485046598973</v>
      </c>
      <c r="F18" s="10">
        <f>IS!F23/IS!F$15</f>
        <v>0.2407455853499019</v>
      </c>
      <c r="G18" s="10">
        <f>IS!G23/IS!G$15</f>
        <v>0.24267905517216018</v>
      </c>
      <c r="H18" s="10">
        <f>IS!H23/IS!H$15</f>
        <v>0.241460412629937</v>
      </c>
      <c r="I18" s="10">
        <f>IS!I23/IS!I$15</f>
        <v>0.23595369563111498</v>
      </c>
      <c r="J18" s="10">
        <f>IS!J23/IS!J$15</f>
        <v>0.24948013862969876</v>
      </c>
      <c r="K18" s="10">
        <f>IS!K23/IS!K$15</f>
        <v>0.24627408023761627</v>
      </c>
      <c r="L18" s="10">
        <f t="shared" si="1"/>
        <v>0.25339700230147094</v>
      </c>
    </row>
    <row r="19" spans="1:12">
      <c r="A19" s="3" t="s">
        <v>26</v>
      </c>
      <c r="B19" s="10">
        <f>IS!B24/IS!B$15</f>
        <v>-5.72133722234687E-3</v>
      </c>
      <c r="C19" s="10">
        <f>IS!C24/IS!C$15</f>
        <v>-6.2692550887247581E-3</v>
      </c>
      <c r="D19" s="10">
        <f>IS!D24/IS!D$15</f>
        <v>-6.050746353854497E-3</v>
      </c>
      <c r="E19" s="10">
        <f>IS!E24/IS!E$15</f>
        <v>-4.9798302962859925E-3</v>
      </c>
      <c r="F19" s="10">
        <f>IS!F24/IS!F$15</f>
        <v>-7.1811641595814256E-3</v>
      </c>
      <c r="G19" s="10">
        <f>IS!G24/IS!G$15</f>
        <v>-4.8295559014966717E-3</v>
      </c>
      <c r="H19" s="10">
        <f>IS!H24/IS!H$15</f>
        <v>4.7526779512302122E-4</v>
      </c>
      <c r="I19" s="10">
        <f>IS!I24/IS!I$15</f>
        <v>-1.089799476896251E-3</v>
      </c>
      <c r="J19" s="10">
        <f>IS!J24/IS!J$15</f>
        <v>-1.3862969874700081E-3</v>
      </c>
      <c r="K19" s="10">
        <f>IS!K24/IS!K$15</f>
        <v>2.2539839693289658E-3</v>
      </c>
      <c r="L19" s="10">
        <f t="shared" si="1"/>
        <v>-3.4778733722204492E-3</v>
      </c>
    </row>
    <row r="20" spans="1:12">
      <c r="A20" s="3" t="s">
        <v>27</v>
      </c>
      <c r="B20" s="10">
        <f>IS!B25/IS!B$15</f>
        <v>-3.502916760152569E-2</v>
      </c>
      <c r="C20" s="10">
        <f>IS!C25/IS!C$15</f>
        <v>9.4173359701874048E-4</v>
      </c>
      <c r="D20" s="10">
        <f>IS!D25/IS!D$15</f>
        <v>2.9454576590461513E-2</v>
      </c>
      <c r="E20" s="10">
        <f>IS!E25/IS!E$15</f>
        <v>-6.732507998330783E-3</v>
      </c>
      <c r="F20" s="10">
        <f>IS!F25/IS!F$15</f>
        <v>-2.393721386527142E-3</v>
      </c>
      <c r="G20" s="10">
        <f>IS!G25/IS!G$15</f>
        <v>-1.722214731371275E-2</v>
      </c>
      <c r="H20" s="10">
        <f>IS!H25/IS!H$15</f>
        <v>-3.077054314578535E-2</v>
      </c>
      <c r="I20" s="10">
        <f>IS!I25/IS!I$15</f>
        <v>-3.5103652039135909E-2</v>
      </c>
      <c r="J20" s="10">
        <f>IS!J25/IS!J$15</f>
        <v>-5.214609437483338E-3</v>
      </c>
      <c r="K20" s="10">
        <f>IS!K25/IS!K$15</f>
        <v>-1.9706560778572406E-2</v>
      </c>
      <c r="L20" s="10">
        <f t="shared" si="1"/>
        <v>-1.2177659951359313E-2</v>
      </c>
    </row>
    <row r="21" spans="1:12">
      <c r="A21" s="3" t="s">
        <v>28</v>
      </c>
      <c r="B21" s="10">
        <f>IS!B26/IS!B$15</f>
        <v>-4.075050482387256E-2</v>
      </c>
      <c r="C21" s="10">
        <f>IS!C26/IS!C$15</f>
        <v>-5.3275214917060179E-3</v>
      </c>
      <c r="D21" s="10">
        <f>IS!D26/IS!D$15</f>
        <v>2.3403830236607016E-2</v>
      </c>
      <c r="E21" s="10">
        <f>IS!E26/IS!E$15</f>
        <v>-1.1712338294616776E-2</v>
      </c>
      <c r="F21" s="10">
        <f>IS!F26/IS!F$15</f>
        <v>-9.5748855461085681E-3</v>
      </c>
      <c r="G21" s="10">
        <f>IS!G26/IS!G$15</f>
        <v>-2.2051703215209422E-2</v>
      </c>
      <c r="H21" s="10">
        <f>IS!H26/IS!H$15</f>
        <v>-3.0295275350662329E-2</v>
      </c>
      <c r="I21" s="10">
        <f>IS!I26/IS!I$15</f>
        <v>-3.6193451516032163E-2</v>
      </c>
      <c r="J21" s="10">
        <f>IS!J26/IS!J$15</f>
        <v>-6.6009064249533461E-3</v>
      </c>
      <c r="K21" s="10">
        <f>IS!K26/IS!K$15</f>
        <v>-1.7452576809243441E-2</v>
      </c>
      <c r="L21" s="10">
        <f t="shared" si="1"/>
        <v>-1.5655533323579759E-2</v>
      </c>
    </row>
    <row r="22" spans="1:12">
      <c r="A22" s="3" t="s">
        <v>29</v>
      </c>
      <c r="B22" s="10">
        <f>IS!B27/IS!B$15</f>
        <v>0.21694805923266772</v>
      </c>
      <c r="C22" s="10">
        <f>IS!C27/IS!C$15</f>
        <v>0.27664097079280514</v>
      </c>
      <c r="D22" s="10">
        <f>IS!D27/IS!D$15</f>
        <v>0.27393897879384649</v>
      </c>
      <c r="E22" s="10">
        <f>IS!E27/IS!E$15</f>
        <v>0.27546251217137291</v>
      </c>
      <c r="F22" s="10">
        <f>IS!F27/IS!F$15</f>
        <v>0.23117069980379332</v>
      </c>
      <c r="G22" s="10">
        <f>IS!G27/IS!G$15</f>
        <v>0.22062735195695077</v>
      </c>
      <c r="H22" s="10">
        <f>IS!H27/IS!H$15</f>
        <v>0.21116513727927466</v>
      </c>
      <c r="I22" s="10">
        <f>IS!I27/IS!I$15</f>
        <v>0.19976024411508284</v>
      </c>
      <c r="J22" s="10">
        <f>IS!J27/IS!J$15</f>
        <v>0.24287923220474539</v>
      </c>
      <c r="K22" s="10">
        <f>IS!K27/IS!K$15</f>
        <v>0.22882150342837282</v>
      </c>
      <c r="L22" s="10">
        <f t="shared" si="1"/>
        <v>0.23774146897789117</v>
      </c>
    </row>
    <row r="23" spans="1:12">
      <c r="A23" s="3" t="s">
        <v>30</v>
      </c>
      <c r="B23" s="10">
        <f>IS!B28/IS!B$15</f>
        <v>2.2997531972178596E-2</v>
      </c>
      <c r="C23" s="10">
        <f>IS!C28/IS!C$15</f>
        <v>5.704214930513514E-2</v>
      </c>
      <c r="D23" s="10">
        <f>IS!D28/IS!D$15</f>
        <v>5.4042868967091928E-2</v>
      </c>
      <c r="E23" s="10">
        <f>IS!E28/IS!E$15</f>
        <v>4.538878842676311E-2</v>
      </c>
      <c r="F23" s="10">
        <f>IS!F28/IS!F$15</f>
        <v>0.21416612164813603</v>
      </c>
      <c r="G23" s="10">
        <f>IS!G28/IS!G$15</f>
        <v>3.3120456969147227E-2</v>
      </c>
      <c r="H23" s="10">
        <f>IS!H28/IS!H$15</f>
        <v>2.6919655369916768E-2</v>
      </c>
      <c r="I23" s="10">
        <f>IS!I28/IS!I$15</f>
        <v>2.1590138525622398E-2</v>
      </c>
      <c r="J23" s="10">
        <f>IS!J28/IS!J$15</f>
        <v>2.0239936017062116E-2</v>
      </c>
      <c r="K23" s="10">
        <f>IS!K28/IS!K$15</f>
        <v>3.985549224271405E-2</v>
      </c>
      <c r="L23" s="10">
        <f t="shared" si="1"/>
        <v>5.3536313944376732E-2</v>
      </c>
    </row>
    <row r="24" spans="1:12">
      <c r="A24" s="3" t="s">
        <v>31</v>
      </c>
      <c r="B24" s="10">
        <f>IS!B29/IS!B$15</f>
        <v>0</v>
      </c>
      <c r="C24" s="10">
        <f>IS!C29/IS!C$15</f>
        <v>0</v>
      </c>
      <c r="D24" s="10">
        <f>IS!D29/IS!D$15</f>
        <v>0</v>
      </c>
      <c r="E24" s="10">
        <f>IS!E29/IS!E$15</f>
        <v>0</v>
      </c>
      <c r="F24" s="10">
        <f>IS!F29/IS!F$15</f>
        <v>0</v>
      </c>
      <c r="G24" s="10">
        <f>IS!G29/IS!G$15</f>
        <v>0</v>
      </c>
      <c r="H24" s="10">
        <f>IS!H29/IS!H$15</f>
        <v>0</v>
      </c>
      <c r="I24" s="10">
        <f>IS!I29/IS!I$15</f>
        <v>0</v>
      </c>
      <c r="J24" s="10">
        <f>IS!J29/IS!J$15</f>
        <v>0</v>
      </c>
      <c r="K24" s="10">
        <f>IS!K29/IS!K$15</f>
        <v>0</v>
      </c>
      <c r="L24" s="10">
        <f t="shared" si="1"/>
        <v>0</v>
      </c>
    </row>
    <row r="25" spans="1:12">
      <c r="A25" s="3" t="s">
        <v>32</v>
      </c>
      <c r="B25" s="10">
        <f>IS!B30/IS!B$15</f>
        <v>0</v>
      </c>
      <c r="C25" s="10">
        <f>IS!C30/IS!C$15</f>
        <v>0</v>
      </c>
      <c r="D25" s="10">
        <f>IS!D30/IS!D$15</f>
        <v>0</v>
      </c>
      <c r="E25" s="10">
        <f>IS!E30/IS!E$15</f>
        <v>0</v>
      </c>
      <c r="F25" s="10">
        <f>IS!F30/IS!F$15</f>
        <v>0</v>
      </c>
      <c r="G25" s="10">
        <f>IS!G30/IS!G$15</f>
        <v>0</v>
      </c>
      <c r="H25" s="10">
        <f>IS!H30/IS!H$15</f>
        <v>0</v>
      </c>
      <c r="I25" s="10">
        <f>IS!I30/IS!I$15</f>
        <v>0</v>
      </c>
      <c r="J25" s="10">
        <f>IS!J30/IS!J$15</f>
        <v>0</v>
      </c>
      <c r="K25" s="10">
        <f>IS!K30/IS!K$15</f>
        <v>0</v>
      </c>
      <c r="L25" s="10">
        <f t="shared" si="1"/>
        <v>0</v>
      </c>
    </row>
    <row r="26" spans="1:12" s="22" customFormat="1">
      <c r="A26" s="21" t="s">
        <v>33</v>
      </c>
      <c r="B26" s="32">
        <f>IS!B31/IS!B$15</f>
        <v>0.19395052726048911</v>
      </c>
      <c r="C26" s="32">
        <f>IS!C31/IS!C$15</f>
        <v>0.21959882148767002</v>
      </c>
      <c r="D26" s="32">
        <f>IS!D31/IS!D$15</f>
        <v>0.21989610982675456</v>
      </c>
      <c r="E26" s="32">
        <f>IS!E31/IS!E$15</f>
        <v>0.23007372374460983</v>
      </c>
      <c r="F26" s="32">
        <f>IS!F31/IS!F$15</f>
        <v>1.7004578155657292E-2</v>
      </c>
      <c r="G26" s="32">
        <f>IS!G31/IS!G$15</f>
        <v>0.18750689498780354</v>
      </c>
      <c r="H26" s="32">
        <f>IS!H31/IS!H$15</f>
        <v>0.18424548190935791</v>
      </c>
      <c r="I26" s="32">
        <f>IS!I31/IS!I$15</f>
        <v>0.17817010558946042</v>
      </c>
      <c r="J26" s="32">
        <f>IS!J31/IS!J$15</f>
        <v>0.22263929618768327</v>
      </c>
      <c r="K26" s="32">
        <f>IS!K31/IS!K$15</f>
        <v>0.18896601118565876</v>
      </c>
      <c r="L26" s="32">
        <f t="shared" si="1"/>
        <v>0.18420515503351448</v>
      </c>
    </row>
    <row r="45" spans="5:5">
      <c r="E45" s="8"/>
    </row>
    <row r="46" spans="5:5">
      <c r="E46" s="8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5C46-ACF2-4FA3-8E1D-B76F91857962}">
  <dimension ref="A1:O19"/>
  <sheetViews>
    <sheetView workbookViewId="0">
      <selection activeCell="D14" sqref="D14"/>
    </sheetView>
  </sheetViews>
  <sheetFormatPr baseColWidth="10" defaultColWidth="8.83203125" defaultRowHeight="13"/>
  <cols>
    <col min="1" max="1" width="34.5" customWidth="1"/>
    <col min="4" max="13" width="15" bestFit="1" customWidth="1"/>
  </cols>
  <sheetData>
    <row r="1" spans="1:15">
      <c r="A1" s="8" t="s">
        <v>79</v>
      </c>
      <c r="C1">
        <v>2023</v>
      </c>
      <c r="D1">
        <f>C1+1</f>
        <v>2024</v>
      </c>
      <c r="E1">
        <f t="shared" ref="E1:M1" si="0">D1+1</f>
        <v>2025</v>
      </c>
      <c r="F1">
        <f t="shared" si="0"/>
        <v>2026</v>
      </c>
      <c r="G1">
        <f t="shared" si="0"/>
        <v>2027</v>
      </c>
      <c r="H1">
        <f t="shared" si="0"/>
        <v>2028</v>
      </c>
      <c r="I1">
        <f t="shared" si="0"/>
        <v>2029</v>
      </c>
      <c r="J1">
        <f t="shared" si="0"/>
        <v>2030</v>
      </c>
      <c r="K1">
        <f t="shared" si="0"/>
        <v>2031</v>
      </c>
      <c r="L1">
        <f t="shared" si="0"/>
        <v>2032</v>
      </c>
      <c r="M1">
        <f t="shared" si="0"/>
        <v>2033</v>
      </c>
    </row>
    <row r="2" spans="1:15">
      <c r="A2" s="8" t="s">
        <v>142</v>
      </c>
      <c r="B2" s="10"/>
      <c r="C2" s="48">
        <v>5.0999999999999997E-2</v>
      </c>
      <c r="D2" s="9">
        <v>5.0999999999999997E-2</v>
      </c>
      <c r="E2" s="9">
        <v>3.5000000000000003E-2</v>
      </c>
      <c r="F2" s="9">
        <v>0.04</v>
      </c>
      <c r="G2" s="9">
        <v>0.04</v>
      </c>
      <c r="H2" s="9">
        <v>0.04</v>
      </c>
      <c r="I2" s="9">
        <v>0.04</v>
      </c>
      <c r="J2" s="9">
        <v>0.04</v>
      </c>
      <c r="K2" s="9">
        <v>0.04</v>
      </c>
      <c r="L2" s="9">
        <v>0.04</v>
      </c>
      <c r="M2" s="9">
        <v>0.04</v>
      </c>
      <c r="O2" s="8"/>
    </row>
    <row r="3" spans="1:15">
      <c r="A3" s="8" t="s">
        <v>143</v>
      </c>
      <c r="C3" s="10">
        <v>0.33</v>
      </c>
      <c r="D3" s="10">
        <v>0.33</v>
      </c>
      <c r="E3" s="10">
        <v>0.32</v>
      </c>
      <c r="F3" s="10">
        <v>0.32</v>
      </c>
      <c r="G3" s="10">
        <v>0.32</v>
      </c>
      <c r="H3" s="10">
        <v>0.32</v>
      </c>
      <c r="I3" s="10">
        <v>0.31</v>
      </c>
      <c r="J3" s="10">
        <v>0.31</v>
      </c>
      <c r="K3" s="10">
        <v>0.31</v>
      </c>
      <c r="L3" s="10">
        <v>0.31</v>
      </c>
      <c r="M3" s="10">
        <v>0.31</v>
      </c>
      <c r="O3" s="8"/>
    </row>
    <row r="4" spans="1:15">
      <c r="A4" s="8" t="s">
        <v>19</v>
      </c>
      <c r="C4" s="10">
        <v>0.26</v>
      </c>
      <c r="D4" s="10">
        <v>0.25</v>
      </c>
      <c r="E4" s="10">
        <v>0.25</v>
      </c>
      <c r="F4" s="10">
        <v>0.25</v>
      </c>
      <c r="G4" s="10">
        <v>0.24</v>
      </c>
      <c r="H4" s="10">
        <v>0.24</v>
      </c>
      <c r="I4" s="10">
        <v>0.24</v>
      </c>
      <c r="J4" s="10">
        <v>0.23</v>
      </c>
      <c r="K4" s="10">
        <v>0.23</v>
      </c>
      <c r="L4" s="10">
        <v>0.23</v>
      </c>
      <c r="M4" s="10">
        <v>0.22</v>
      </c>
      <c r="O4" s="8"/>
    </row>
    <row r="5" spans="1:15">
      <c r="A5" s="8" t="s">
        <v>20</v>
      </c>
      <c r="C5" s="10">
        <f>43%-C4</f>
        <v>0.16999999999999998</v>
      </c>
      <c r="D5" s="10">
        <f t="shared" ref="D5:M5" si="1">43%-D4</f>
        <v>0.18</v>
      </c>
      <c r="E5" s="10">
        <f t="shared" si="1"/>
        <v>0.18</v>
      </c>
      <c r="F5" s="10">
        <f t="shared" si="1"/>
        <v>0.18</v>
      </c>
      <c r="G5" s="10">
        <f t="shared" si="1"/>
        <v>0.19</v>
      </c>
      <c r="H5" s="10">
        <f t="shared" si="1"/>
        <v>0.19</v>
      </c>
      <c r="I5" s="10">
        <f t="shared" si="1"/>
        <v>0.19</v>
      </c>
      <c r="J5" s="10">
        <f t="shared" si="1"/>
        <v>0.19999999999999998</v>
      </c>
      <c r="K5" s="10">
        <f t="shared" si="1"/>
        <v>0.19999999999999998</v>
      </c>
      <c r="L5" s="10">
        <f t="shared" si="1"/>
        <v>0.19999999999999998</v>
      </c>
      <c r="M5" s="10">
        <f t="shared" si="1"/>
        <v>0.21</v>
      </c>
      <c r="O5" s="8"/>
    </row>
    <row r="8" spans="1:15">
      <c r="A8" s="8"/>
    </row>
    <row r="9" spans="1:15">
      <c r="A9" s="8" t="s">
        <v>79</v>
      </c>
      <c r="B9" s="43">
        <v>2021</v>
      </c>
      <c r="C9" s="43">
        <v>2022</v>
      </c>
      <c r="D9" s="43">
        <f>C9+1</f>
        <v>2023</v>
      </c>
      <c r="E9" s="43">
        <f t="shared" ref="E9:M9" si="2">D9+1</f>
        <v>2024</v>
      </c>
      <c r="F9" s="43">
        <f t="shared" si="2"/>
        <v>2025</v>
      </c>
      <c r="G9" s="43">
        <f t="shared" si="2"/>
        <v>2026</v>
      </c>
      <c r="H9" s="43">
        <f t="shared" si="2"/>
        <v>2027</v>
      </c>
      <c r="I9" s="43">
        <f t="shared" si="2"/>
        <v>2028</v>
      </c>
      <c r="J9" s="43">
        <f t="shared" si="2"/>
        <v>2029</v>
      </c>
      <c r="K9" s="43">
        <f t="shared" si="2"/>
        <v>2030</v>
      </c>
      <c r="L9" s="43">
        <f t="shared" si="2"/>
        <v>2031</v>
      </c>
      <c r="M9" s="43">
        <f t="shared" si="2"/>
        <v>2032</v>
      </c>
    </row>
    <row r="10" spans="1:15">
      <c r="A10" t="s">
        <v>15</v>
      </c>
      <c r="B10" s="45">
        <v>93775</v>
      </c>
      <c r="C10" s="45">
        <v>94943</v>
      </c>
      <c r="D10" s="45">
        <f t="shared" ref="D10:M10" si="3">C10*(1+C2)</f>
        <v>99785.092999999993</v>
      </c>
      <c r="E10" s="45">
        <f t="shared" si="3"/>
        <v>104874.13274299998</v>
      </c>
      <c r="F10" s="45">
        <f t="shared" si="3"/>
        <v>108544.72738900497</v>
      </c>
      <c r="G10" s="45">
        <f t="shared" si="3"/>
        <v>112886.51648456517</v>
      </c>
      <c r="H10" s="45">
        <f t="shared" si="3"/>
        <v>117401.97714394779</v>
      </c>
      <c r="I10" s="45">
        <f t="shared" si="3"/>
        <v>122098.0562297057</v>
      </c>
      <c r="J10" s="45">
        <f t="shared" si="3"/>
        <v>126981.97847889394</v>
      </c>
      <c r="K10" s="45">
        <f t="shared" si="3"/>
        <v>132061.25761804971</v>
      </c>
      <c r="L10" s="45">
        <f t="shared" si="3"/>
        <v>137343.70792277172</v>
      </c>
      <c r="M10" s="45">
        <f t="shared" si="3"/>
        <v>142837.45623968259</v>
      </c>
    </row>
    <row r="11" spans="1:15">
      <c r="A11" t="s">
        <v>16</v>
      </c>
      <c r="B11" s="45">
        <v>93775</v>
      </c>
      <c r="C11" s="45">
        <v>94943</v>
      </c>
      <c r="D11" s="45">
        <f>D10</f>
        <v>99785.092999999993</v>
      </c>
      <c r="E11" s="45">
        <f t="shared" ref="E11:M11" si="4">E10</f>
        <v>104874.13274299998</v>
      </c>
      <c r="F11" s="45">
        <f t="shared" si="4"/>
        <v>108544.72738900497</v>
      </c>
      <c r="G11" s="45">
        <f t="shared" si="4"/>
        <v>112886.51648456517</v>
      </c>
      <c r="H11" s="45">
        <f t="shared" si="4"/>
        <v>117401.97714394779</v>
      </c>
      <c r="I11" s="45">
        <f t="shared" si="4"/>
        <v>122098.0562297057</v>
      </c>
      <c r="J11" s="45">
        <f t="shared" si="4"/>
        <v>126981.97847889394</v>
      </c>
      <c r="K11" s="45">
        <f t="shared" si="4"/>
        <v>132061.25761804971</v>
      </c>
      <c r="L11" s="45">
        <f t="shared" si="4"/>
        <v>137343.70792277172</v>
      </c>
      <c r="M11" s="45">
        <f t="shared" si="4"/>
        <v>142837.45623968259</v>
      </c>
    </row>
    <row r="12" spans="1:15">
      <c r="A12" t="s">
        <v>141</v>
      </c>
      <c r="B12" s="45">
        <v>29855</v>
      </c>
      <c r="C12" s="45">
        <v>31089</v>
      </c>
      <c r="D12" s="45">
        <f>D11*C3</f>
        <v>32929.080690000003</v>
      </c>
      <c r="E12" s="45">
        <f t="shared" ref="E12:M12" si="5">E11*D3</f>
        <v>34608.463805189996</v>
      </c>
      <c r="F12" s="45">
        <f t="shared" si="5"/>
        <v>34734.31276448159</v>
      </c>
      <c r="G12" s="45">
        <f t="shared" si="5"/>
        <v>36123.68527506086</v>
      </c>
      <c r="H12" s="45">
        <f t="shared" si="5"/>
        <v>37568.632686063291</v>
      </c>
      <c r="I12" s="45">
        <f t="shared" si="5"/>
        <v>39071.377993505826</v>
      </c>
      <c r="J12" s="45">
        <f t="shared" si="5"/>
        <v>39364.413328457122</v>
      </c>
      <c r="K12" s="45">
        <f t="shared" si="5"/>
        <v>40938.989861595408</v>
      </c>
      <c r="L12" s="45">
        <f t="shared" si="5"/>
        <v>42576.549456059234</v>
      </c>
      <c r="M12" s="45">
        <f t="shared" si="5"/>
        <v>44279.611434301602</v>
      </c>
    </row>
    <row r="13" spans="1:15">
      <c r="A13" t="s">
        <v>18</v>
      </c>
      <c r="B13" s="45">
        <v>63920</v>
      </c>
      <c r="C13" s="45">
        <v>63854</v>
      </c>
      <c r="D13" s="45">
        <f>D11-D12</f>
        <v>66856.012309999991</v>
      </c>
      <c r="E13" s="45">
        <f t="shared" ref="E13:M13" si="6">E11-E12</f>
        <v>70265.668937809984</v>
      </c>
      <c r="F13" s="45">
        <f t="shared" si="6"/>
        <v>73810.414624523371</v>
      </c>
      <c r="G13" s="45">
        <f t="shared" si="6"/>
        <v>76762.831209504307</v>
      </c>
      <c r="H13" s="45">
        <f t="shared" si="6"/>
        <v>79833.344457884494</v>
      </c>
      <c r="I13" s="45">
        <f t="shared" si="6"/>
        <v>83026.678236199878</v>
      </c>
      <c r="J13" s="45">
        <f t="shared" si="6"/>
        <v>87617.565150436829</v>
      </c>
      <c r="K13" s="45">
        <f t="shared" si="6"/>
        <v>91122.267756454297</v>
      </c>
      <c r="L13" s="45">
        <f t="shared" si="6"/>
        <v>94767.158466712484</v>
      </c>
      <c r="M13" s="45">
        <f t="shared" si="6"/>
        <v>98557.844805380999</v>
      </c>
    </row>
    <row r="14" spans="1:15">
      <c r="A14" t="s">
        <v>19</v>
      </c>
      <c r="B14" s="45">
        <v>24659</v>
      </c>
      <c r="C14" s="45">
        <v>24765</v>
      </c>
      <c r="D14" s="45">
        <f>D11*C4</f>
        <v>25944.124179999999</v>
      </c>
      <c r="E14" s="45">
        <f t="shared" ref="E14:M14" si="7">E11*D4</f>
        <v>26218.533185749995</v>
      </c>
      <c r="F14" s="45">
        <f t="shared" si="7"/>
        <v>27136.181847251242</v>
      </c>
      <c r="G14" s="45">
        <f t="shared" si="7"/>
        <v>28221.629121141294</v>
      </c>
      <c r="H14" s="45">
        <f t="shared" si="7"/>
        <v>28176.47451454747</v>
      </c>
      <c r="I14" s="45">
        <f t="shared" si="7"/>
        <v>29303.533495129366</v>
      </c>
      <c r="J14" s="45">
        <f t="shared" si="7"/>
        <v>30475.674834934543</v>
      </c>
      <c r="K14" s="45">
        <f t="shared" si="7"/>
        <v>30374.089252151436</v>
      </c>
      <c r="L14" s="45">
        <f t="shared" si="7"/>
        <v>31589.052822237496</v>
      </c>
      <c r="M14" s="45">
        <f t="shared" si="7"/>
        <v>32852.614935127</v>
      </c>
    </row>
    <row r="15" spans="1:15">
      <c r="A15" t="s">
        <v>20</v>
      </c>
      <c r="B15" s="45">
        <v>15614</v>
      </c>
      <c r="C15" s="45">
        <v>15386</v>
      </c>
      <c r="D15" s="45">
        <f>D11*C5</f>
        <v>16963.465809999998</v>
      </c>
      <c r="E15" s="45">
        <f t="shared" ref="E15:M15" si="8">E11*D5</f>
        <v>18877.343893739995</v>
      </c>
      <c r="F15" s="45">
        <f t="shared" si="8"/>
        <v>19538.050930020894</v>
      </c>
      <c r="G15" s="45">
        <f t="shared" si="8"/>
        <v>20319.572967221731</v>
      </c>
      <c r="H15" s="45">
        <f t="shared" si="8"/>
        <v>22306.37565735008</v>
      </c>
      <c r="I15" s="45">
        <f t="shared" si="8"/>
        <v>23198.630683644085</v>
      </c>
      <c r="J15" s="45">
        <f t="shared" si="8"/>
        <v>24126.57591098985</v>
      </c>
      <c r="K15" s="45">
        <f t="shared" si="8"/>
        <v>26412.251523609939</v>
      </c>
      <c r="L15" s="45">
        <f t="shared" si="8"/>
        <v>27468.74158455434</v>
      </c>
      <c r="M15" s="45">
        <f t="shared" si="8"/>
        <v>28567.491247936516</v>
      </c>
    </row>
    <row r="16" spans="1:15">
      <c r="A16" t="s">
        <v>21</v>
      </c>
      <c r="B16" s="46">
        <v>252</v>
      </c>
      <c r="C16" s="46">
        <v>321</v>
      </c>
      <c r="D16" s="47">
        <f>D11*0.31%</f>
        <v>309.33378829999998</v>
      </c>
      <c r="E16" s="47">
        <f t="shared" ref="E16:M16" si="9">E11*0.31%</f>
        <v>325.10981150329991</v>
      </c>
      <c r="F16" s="47">
        <f t="shared" si="9"/>
        <v>336.48865490591538</v>
      </c>
      <c r="G16" s="47">
        <f t="shared" si="9"/>
        <v>349.94820110215204</v>
      </c>
      <c r="H16" s="47">
        <f t="shared" si="9"/>
        <v>363.94612914623815</v>
      </c>
      <c r="I16" s="47">
        <f t="shared" si="9"/>
        <v>378.50397431208768</v>
      </c>
      <c r="J16" s="47">
        <f t="shared" si="9"/>
        <v>393.64413328457118</v>
      </c>
      <c r="K16" s="47">
        <f t="shared" si="9"/>
        <v>409.38989861595411</v>
      </c>
      <c r="L16" s="47">
        <f t="shared" si="9"/>
        <v>425.76549456059229</v>
      </c>
      <c r="M16" s="47">
        <f t="shared" si="9"/>
        <v>442.79611434301603</v>
      </c>
    </row>
    <row r="17" spans="1:13">
      <c r="A17" t="s">
        <v>23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</row>
    <row r="18" spans="1:13">
      <c r="A18" t="s">
        <v>24</v>
      </c>
      <c r="B18" s="43">
        <v>40525</v>
      </c>
      <c r="C18" s="43">
        <v>40472</v>
      </c>
      <c r="D18" s="45">
        <f>D15+D16+D14</f>
        <v>43216.923778299999</v>
      </c>
      <c r="E18" s="45">
        <f t="shared" ref="E18:M18" si="10">E15+E16+E14</f>
        <v>45420.986890993285</v>
      </c>
      <c r="F18" s="45">
        <f t="shared" si="10"/>
        <v>47010.721432178048</v>
      </c>
      <c r="G18" s="45">
        <f t="shared" si="10"/>
        <v>48891.150289465179</v>
      </c>
      <c r="H18" s="45">
        <f t="shared" si="10"/>
        <v>50846.796301043789</v>
      </c>
      <c r="I18" s="45">
        <f t="shared" si="10"/>
        <v>52880.668153085542</v>
      </c>
      <c r="J18" s="45">
        <f t="shared" si="10"/>
        <v>54995.894879208965</v>
      </c>
      <c r="K18" s="45">
        <f t="shared" si="10"/>
        <v>57195.73067437733</v>
      </c>
      <c r="L18" s="45">
        <f t="shared" si="10"/>
        <v>59483.559901352433</v>
      </c>
      <c r="M18" s="45">
        <f t="shared" si="10"/>
        <v>61862.90229740653</v>
      </c>
    </row>
    <row r="19" spans="1:13">
      <c r="A19" t="s">
        <v>25</v>
      </c>
      <c r="B19" s="43">
        <v>23395</v>
      </c>
      <c r="C19" s="43">
        <v>23382</v>
      </c>
      <c r="D19" s="45">
        <f>D13-D18</f>
        <v>23639.088531699992</v>
      </c>
      <c r="E19" s="45">
        <f t="shared" ref="E19:M19" si="11">E13-E18</f>
        <v>24844.682046816699</v>
      </c>
      <c r="F19" s="45">
        <f t="shared" si="11"/>
        <v>26799.693192345323</v>
      </c>
      <c r="G19" s="45">
        <f t="shared" si="11"/>
        <v>27871.680920039129</v>
      </c>
      <c r="H19" s="45">
        <f t="shared" si="11"/>
        <v>28986.548156840705</v>
      </c>
      <c r="I19" s="45">
        <f t="shared" si="11"/>
        <v>30146.010083114335</v>
      </c>
      <c r="J19" s="45">
        <f t="shared" si="11"/>
        <v>32621.670271227864</v>
      </c>
      <c r="K19" s="45">
        <f t="shared" si="11"/>
        <v>33926.537082076968</v>
      </c>
      <c r="L19" s="45">
        <f t="shared" si="11"/>
        <v>35283.598565360051</v>
      </c>
      <c r="M19" s="45">
        <f t="shared" si="11"/>
        <v>36694.942507974469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225A-67F2-4400-AD9F-641FD4C5425F}">
  <dimension ref="A4:X71"/>
  <sheetViews>
    <sheetView zoomScale="110" zoomScaleNormal="110" workbookViewId="0">
      <selection activeCell="B70" sqref="B70:K70"/>
    </sheetView>
  </sheetViews>
  <sheetFormatPr baseColWidth="10" defaultColWidth="8.83203125" defaultRowHeight="13"/>
  <cols>
    <col min="1" max="1" width="27.1640625" customWidth="1"/>
    <col min="2" max="11" width="11.1640625" bestFit="1" customWidth="1"/>
  </cols>
  <sheetData>
    <row r="4" spans="1:20">
      <c r="A4" s="27" t="s">
        <v>107</v>
      </c>
    </row>
    <row r="5" spans="1:20" ht="20">
      <c r="A5" s="28" t="s">
        <v>108</v>
      </c>
    </row>
    <row r="7" spans="1:20" ht="28">
      <c r="A7" s="29" t="s">
        <v>109</v>
      </c>
    </row>
    <row r="10" spans="1:20">
      <c r="A10" s="8" t="s">
        <v>79</v>
      </c>
      <c r="B10">
        <v>2013</v>
      </c>
      <c r="C10">
        <v>2014</v>
      </c>
      <c r="D10">
        <f>C10+1</f>
        <v>2015</v>
      </c>
      <c r="E10">
        <f t="shared" ref="E10:K10" si="0">D10+1</f>
        <v>2016</v>
      </c>
      <c r="F10">
        <f t="shared" si="0"/>
        <v>2017</v>
      </c>
      <c r="G10">
        <f t="shared" si="0"/>
        <v>2018</v>
      </c>
      <c r="H10">
        <f t="shared" si="0"/>
        <v>2019</v>
      </c>
      <c r="I10">
        <f t="shared" si="0"/>
        <v>2020</v>
      </c>
      <c r="J10">
        <f t="shared" si="0"/>
        <v>2021</v>
      </c>
      <c r="K10">
        <f t="shared" si="0"/>
        <v>2022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4">
      <c r="A11" s="1" t="s">
        <v>0</v>
      </c>
      <c r="B11" s="2" t="s">
        <v>10</v>
      </c>
      <c r="C11" s="2" t="s">
        <v>9</v>
      </c>
      <c r="D11" s="2" t="s">
        <v>8</v>
      </c>
      <c r="E11" s="2" t="s">
        <v>7</v>
      </c>
      <c r="F11" s="2" t="s">
        <v>6</v>
      </c>
      <c r="G11" s="2" t="s">
        <v>5</v>
      </c>
      <c r="H11" s="2" t="s">
        <v>4</v>
      </c>
      <c r="I11" s="2" t="s">
        <v>3</v>
      </c>
      <c r="J11" s="2" t="s">
        <v>2</v>
      </c>
      <c r="K11" s="2" t="s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4">
      <c r="A12" s="1" t="s">
        <v>11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4">
      <c r="A13" s="1" t="s">
        <v>13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 t="s">
        <v>43</v>
      </c>
      <c r="B14" s="23">
        <v>20927</v>
      </c>
      <c r="C14" s="23">
        <v>14523</v>
      </c>
      <c r="D14" s="23">
        <v>13732</v>
      </c>
      <c r="E14" s="23">
        <v>18972</v>
      </c>
      <c r="F14" s="23">
        <v>17824</v>
      </c>
      <c r="G14" s="23">
        <v>18107</v>
      </c>
      <c r="H14" s="23">
        <v>17305</v>
      </c>
      <c r="I14" s="23">
        <v>13985</v>
      </c>
      <c r="J14" s="23">
        <v>14487</v>
      </c>
      <c r="K14" s="23">
        <v>14127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 t="s">
        <v>44</v>
      </c>
      <c r="B15" s="23">
        <v>8279</v>
      </c>
      <c r="C15" s="23">
        <v>18566</v>
      </c>
      <c r="D15" s="23">
        <v>24644</v>
      </c>
      <c r="E15" s="23">
        <v>22935</v>
      </c>
      <c r="F15" s="23">
        <v>472</v>
      </c>
      <c r="G15" s="23">
        <v>1580</v>
      </c>
      <c r="H15" s="23">
        <v>1982</v>
      </c>
      <c r="I15" s="23">
        <v>11200</v>
      </c>
      <c r="J15" s="23">
        <v>17121</v>
      </c>
      <c r="K15" s="23">
        <v>9392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 t="s">
        <v>45</v>
      </c>
      <c r="B16" s="23">
        <v>29206</v>
      </c>
      <c r="C16" s="23">
        <v>33089</v>
      </c>
      <c r="D16" s="23">
        <v>38376</v>
      </c>
      <c r="E16" s="23">
        <v>41907</v>
      </c>
      <c r="F16" s="23">
        <v>18296</v>
      </c>
      <c r="G16" s="23">
        <v>19687</v>
      </c>
      <c r="H16" s="23">
        <v>19287</v>
      </c>
      <c r="I16" s="23">
        <v>25185</v>
      </c>
      <c r="J16" s="23">
        <v>31608</v>
      </c>
      <c r="K16" s="23">
        <v>23519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 t="s">
        <v>46</v>
      </c>
      <c r="B17" s="23">
        <v>11713</v>
      </c>
      <c r="C17" s="23">
        <v>10985</v>
      </c>
      <c r="D17" s="23">
        <v>10734</v>
      </c>
      <c r="E17" s="23">
        <v>11699</v>
      </c>
      <c r="F17" s="23">
        <v>13490</v>
      </c>
      <c r="G17" s="23">
        <v>14098</v>
      </c>
      <c r="H17" s="23">
        <v>14481</v>
      </c>
      <c r="I17" s="23">
        <v>13576</v>
      </c>
      <c r="J17" s="23">
        <v>15283</v>
      </c>
      <c r="K17" s="23">
        <v>16160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 t="s">
        <v>47</v>
      </c>
      <c r="B18" s="23">
        <v>7878</v>
      </c>
      <c r="C18" s="23">
        <v>8184</v>
      </c>
      <c r="D18" s="23">
        <v>8053</v>
      </c>
      <c r="E18" s="23">
        <v>8144</v>
      </c>
      <c r="F18" s="23">
        <v>8765</v>
      </c>
      <c r="G18" s="23">
        <v>8599</v>
      </c>
      <c r="H18" s="23">
        <v>9020</v>
      </c>
      <c r="I18" s="23">
        <v>9344</v>
      </c>
      <c r="J18" s="23">
        <v>10387</v>
      </c>
      <c r="K18" s="23">
        <v>12483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 t="s">
        <v>48</v>
      </c>
      <c r="B19" s="23">
        <v>3607</v>
      </c>
      <c r="C19" s="23">
        <v>3567</v>
      </c>
      <c r="D19" s="25"/>
      <c r="E19" s="25"/>
      <c r="F19" s="25"/>
      <c r="G19" s="25"/>
      <c r="H19" s="25"/>
      <c r="I19" s="25"/>
      <c r="J19" s="25"/>
      <c r="K19" s="25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 t="s">
        <v>49</v>
      </c>
      <c r="B20" s="25"/>
      <c r="C20" s="25"/>
      <c r="D20" s="25"/>
      <c r="E20" s="25"/>
      <c r="F20" s="25"/>
      <c r="G20" s="23">
        <v>950</v>
      </c>
      <c r="H20" s="23">
        <v>94</v>
      </c>
      <c r="I20" s="25"/>
      <c r="J20" s="25"/>
      <c r="K20" s="25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 t="s">
        <v>50</v>
      </c>
      <c r="B21" s="23">
        <v>4003</v>
      </c>
      <c r="C21" s="23">
        <v>3486</v>
      </c>
      <c r="D21" s="23">
        <v>3047</v>
      </c>
      <c r="E21" s="23">
        <v>3282</v>
      </c>
      <c r="F21" s="23">
        <v>2537</v>
      </c>
      <c r="G21" s="23">
        <v>2699</v>
      </c>
      <c r="H21" s="23">
        <v>2392</v>
      </c>
      <c r="I21" s="23">
        <v>3132</v>
      </c>
      <c r="J21" s="23">
        <v>3701</v>
      </c>
      <c r="K21" s="23">
        <v>3132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21" t="s">
        <v>51</v>
      </c>
      <c r="B22" s="24">
        <v>56407</v>
      </c>
      <c r="C22" s="24">
        <v>59311</v>
      </c>
      <c r="D22" s="24">
        <v>60210</v>
      </c>
      <c r="E22" s="24">
        <v>65032</v>
      </c>
      <c r="F22" s="24">
        <v>43088</v>
      </c>
      <c r="G22" s="24">
        <v>46033</v>
      </c>
      <c r="H22" s="24">
        <v>45274</v>
      </c>
      <c r="I22" s="24">
        <v>51237</v>
      </c>
      <c r="J22" s="24">
        <v>60979</v>
      </c>
      <c r="K22" s="24">
        <v>55294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 t="s">
        <v>52</v>
      </c>
      <c r="B23" s="23">
        <v>37133</v>
      </c>
      <c r="C23" s="23">
        <v>36685</v>
      </c>
      <c r="D23" s="23">
        <v>36648</v>
      </c>
      <c r="E23" s="23">
        <v>37773</v>
      </c>
      <c r="F23" s="23">
        <v>41466</v>
      </c>
      <c r="G23" s="23">
        <v>41851</v>
      </c>
      <c r="H23" s="23">
        <v>43332</v>
      </c>
      <c r="I23" s="23">
        <v>46804</v>
      </c>
      <c r="J23" s="23">
        <v>47679</v>
      </c>
      <c r="K23" s="23">
        <v>49253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12" t="s">
        <v>104</v>
      </c>
      <c r="B24" s="23">
        <v>20423</v>
      </c>
      <c r="C24" s="23">
        <v>20559</v>
      </c>
      <c r="D24" s="23">
        <v>20743</v>
      </c>
      <c r="E24" s="23">
        <v>21861</v>
      </c>
      <c r="F24" s="23">
        <v>24461</v>
      </c>
      <c r="G24" s="23">
        <v>24816</v>
      </c>
      <c r="H24" s="23">
        <v>25674</v>
      </c>
      <c r="I24" s="23">
        <v>28038</v>
      </c>
      <c r="J24" s="23">
        <v>28717</v>
      </c>
      <c r="K24" s="23">
        <v>29450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2" t="s">
        <v>54</v>
      </c>
      <c r="B25" s="23">
        <v>16710</v>
      </c>
      <c r="C25" s="23">
        <v>16126</v>
      </c>
      <c r="D25" s="23">
        <v>15905</v>
      </c>
      <c r="E25" s="23">
        <v>15912</v>
      </c>
      <c r="F25" s="23">
        <v>17005</v>
      </c>
      <c r="G25" s="23">
        <v>17035</v>
      </c>
      <c r="H25" s="23">
        <v>17658</v>
      </c>
      <c r="I25" s="23">
        <v>18766</v>
      </c>
      <c r="J25" s="23">
        <v>18962</v>
      </c>
      <c r="K25" s="23">
        <v>19803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12" t="s">
        <v>219</v>
      </c>
      <c r="B26" s="23">
        <v>50745</v>
      </c>
      <c r="C26" s="23">
        <v>49054</v>
      </c>
      <c r="D26" s="23">
        <v>47393</v>
      </c>
      <c r="E26" s="23">
        <v>49681</v>
      </c>
      <c r="F26" s="23">
        <v>85134</v>
      </c>
      <c r="G26" s="23">
        <v>78064</v>
      </c>
      <c r="H26" s="23">
        <v>81282</v>
      </c>
      <c r="I26" s="23">
        <v>89795</v>
      </c>
      <c r="J26" s="23">
        <v>81638</v>
      </c>
      <c r="K26" s="23">
        <v>93556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 t="s">
        <v>56</v>
      </c>
      <c r="B27" s="23">
        <v>3872</v>
      </c>
      <c r="C27" s="23">
        <v>3396</v>
      </c>
      <c r="D27" s="23">
        <v>5490</v>
      </c>
      <c r="E27" s="23">
        <v>6148</v>
      </c>
      <c r="F27" s="23">
        <v>7105</v>
      </c>
      <c r="G27" s="23">
        <v>7640</v>
      </c>
      <c r="H27" s="23">
        <v>7819</v>
      </c>
      <c r="I27" s="23">
        <v>8534</v>
      </c>
      <c r="J27" s="23">
        <v>10223</v>
      </c>
      <c r="K27" s="23">
        <v>9123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 t="s">
        <v>57</v>
      </c>
      <c r="B28" s="23">
        <v>4949</v>
      </c>
      <c r="C28" s="23">
        <v>3232</v>
      </c>
      <c r="D28" s="23">
        <v>4413</v>
      </c>
      <c r="E28" s="23">
        <v>4435</v>
      </c>
      <c r="F28" s="23">
        <v>4971</v>
      </c>
      <c r="G28" s="23">
        <v>4182</v>
      </c>
      <c r="H28" s="23">
        <v>5695</v>
      </c>
      <c r="I28" s="23">
        <v>6562</v>
      </c>
      <c r="J28" s="23">
        <v>10216</v>
      </c>
      <c r="K28" s="23">
        <v>9602</v>
      </c>
      <c r="L28" s="3"/>
      <c r="M28" s="3"/>
      <c r="N28" s="3"/>
      <c r="O28" s="3"/>
      <c r="P28" s="3"/>
      <c r="Q28" s="3"/>
      <c r="R28" s="3"/>
      <c r="S28" s="3"/>
      <c r="T28" s="3"/>
    </row>
    <row r="29" spans="1:20" s="22" customFormat="1">
      <c r="A29" s="12" t="s">
        <v>58</v>
      </c>
      <c r="B29" s="42">
        <v>132683</v>
      </c>
      <c r="C29" s="42">
        <v>131119</v>
      </c>
      <c r="D29" s="42">
        <v>133411</v>
      </c>
      <c r="E29" s="42">
        <v>141208</v>
      </c>
      <c r="F29" s="42">
        <v>157303</v>
      </c>
      <c r="G29" s="42">
        <v>152954</v>
      </c>
      <c r="H29" s="42">
        <v>157728</v>
      </c>
      <c r="I29" s="42">
        <v>174894</v>
      </c>
      <c r="J29" s="42">
        <v>182018</v>
      </c>
      <c r="K29" s="42">
        <v>187378</v>
      </c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3" t="s">
        <v>59</v>
      </c>
      <c r="B30" s="23">
        <v>20823</v>
      </c>
      <c r="C30" s="23">
        <v>21447</v>
      </c>
      <c r="D30" s="23">
        <v>20743</v>
      </c>
      <c r="E30" s="23">
        <v>21603</v>
      </c>
      <c r="F30" s="23">
        <v>26631</v>
      </c>
      <c r="G30" s="23">
        <v>28434</v>
      </c>
      <c r="H30" s="23">
        <v>34762</v>
      </c>
      <c r="I30" s="23">
        <v>39862</v>
      </c>
      <c r="J30" s="23">
        <v>41460</v>
      </c>
      <c r="K30" s="23">
        <v>43031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 t="s">
        <v>60</v>
      </c>
      <c r="B31" s="23">
        <v>6266</v>
      </c>
      <c r="C31" s="23">
        <v>7633</v>
      </c>
      <c r="D31" s="23">
        <v>6668</v>
      </c>
      <c r="E31" s="23">
        <v>6918</v>
      </c>
      <c r="F31" s="23">
        <v>7310</v>
      </c>
      <c r="G31" s="23">
        <v>7537</v>
      </c>
      <c r="H31" s="23">
        <v>8544</v>
      </c>
      <c r="I31" s="23">
        <v>9505</v>
      </c>
      <c r="J31" s="23">
        <v>11055</v>
      </c>
      <c r="K31" s="23">
        <v>11703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 t="s">
        <v>61</v>
      </c>
      <c r="B32" s="23">
        <v>14557</v>
      </c>
      <c r="C32" s="23">
        <v>13814</v>
      </c>
      <c r="D32" s="23">
        <v>14075</v>
      </c>
      <c r="E32" s="23">
        <v>14685</v>
      </c>
      <c r="F32" s="23">
        <v>19321</v>
      </c>
      <c r="G32" s="23">
        <v>20897</v>
      </c>
      <c r="H32" s="23">
        <v>26218</v>
      </c>
      <c r="I32" s="23">
        <v>30357</v>
      </c>
      <c r="J32" s="23">
        <v>30405</v>
      </c>
      <c r="K32" s="23">
        <v>31328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 t="s">
        <v>62</v>
      </c>
      <c r="B33" s="23">
        <v>4852</v>
      </c>
      <c r="C33" s="23">
        <v>3638</v>
      </c>
      <c r="D33" s="23">
        <v>7004</v>
      </c>
      <c r="E33" s="23">
        <v>4684</v>
      </c>
      <c r="F33" s="23">
        <v>3906</v>
      </c>
      <c r="G33" s="23">
        <v>2796</v>
      </c>
      <c r="H33" s="23">
        <v>1202</v>
      </c>
      <c r="I33" s="23">
        <v>2631</v>
      </c>
      <c r="J33" s="23">
        <v>3766</v>
      </c>
      <c r="K33" s="23">
        <v>12771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 t="s">
        <v>63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21" t="s">
        <v>64</v>
      </c>
      <c r="B35" s="24">
        <v>25675</v>
      </c>
      <c r="C35" s="24">
        <v>25085</v>
      </c>
      <c r="D35" s="24">
        <v>27747</v>
      </c>
      <c r="E35" s="24">
        <v>26287</v>
      </c>
      <c r="F35" s="24">
        <v>30537</v>
      </c>
      <c r="G35" s="24">
        <v>31230</v>
      </c>
      <c r="H35" s="24">
        <v>35964</v>
      </c>
      <c r="I35" s="24">
        <v>42493</v>
      </c>
      <c r="J35" s="24">
        <v>45226</v>
      </c>
      <c r="K35" s="24">
        <v>55802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 t="s">
        <v>65</v>
      </c>
      <c r="B36" s="23">
        <v>13328</v>
      </c>
      <c r="C36" s="23">
        <v>15122</v>
      </c>
      <c r="D36" s="23">
        <v>12857</v>
      </c>
      <c r="E36" s="23">
        <v>22442</v>
      </c>
      <c r="F36" s="23">
        <v>30675</v>
      </c>
      <c r="G36" s="23">
        <v>27684</v>
      </c>
      <c r="H36" s="23">
        <v>26494</v>
      </c>
      <c r="I36" s="23">
        <v>32635</v>
      </c>
      <c r="J36" s="23">
        <v>29985</v>
      </c>
      <c r="K36" s="23">
        <v>26888</v>
      </c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 t="s">
        <v>66</v>
      </c>
      <c r="B37" s="23">
        <v>5605</v>
      </c>
      <c r="C37" s="23">
        <v>7708</v>
      </c>
      <c r="D37" s="23">
        <v>6595</v>
      </c>
      <c r="E37" s="23">
        <v>7443</v>
      </c>
      <c r="F37" s="23">
        <v>7674</v>
      </c>
      <c r="G37" s="23">
        <v>7610</v>
      </c>
      <c r="H37" s="23">
        <v>7835</v>
      </c>
      <c r="I37" s="23">
        <v>7990</v>
      </c>
      <c r="J37" s="23">
        <v>6157</v>
      </c>
      <c r="K37" s="23">
        <v>4432</v>
      </c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 t="s">
        <v>67</v>
      </c>
      <c r="B38" s="23">
        <v>3989</v>
      </c>
      <c r="C38" s="23">
        <v>3154</v>
      </c>
      <c r="D38" s="23">
        <v>2562</v>
      </c>
      <c r="E38" s="23">
        <v>2910</v>
      </c>
      <c r="F38" s="23">
        <v>8368</v>
      </c>
      <c r="G38" s="23">
        <v>7506</v>
      </c>
      <c r="H38" s="23">
        <v>5958</v>
      </c>
      <c r="I38" s="23">
        <v>7214</v>
      </c>
      <c r="J38" s="23">
        <v>7487</v>
      </c>
      <c r="K38" s="23">
        <v>6374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 t="s">
        <v>68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 t="s">
        <v>69</v>
      </c>
      <c r="B40" s="23">
        <v>10033</v>
      </c>
      <c r="C40" s="23">
        <v>10298</v>
      </c>
      <c r="D40" s="23">
        <v>12500</v>
      </c>
      <c r="E40" s="23">
        <v>11708</v>
      </c>
      <c r="F40" s="23">
        <v>19889</v>
      </c>
      <c r="G40" s="23">
        <v>19172</v>
      </c>
      <c r="H40" s="23">
        <v>22006</v>
      </c>
      <c r="I40" s="23">
        <v>21284</v>
      </c>
      <c r="J40" s="23">
        <v>19140</v>
      </c>
      <c r="K40" s="23">
        <v>17078</v>
      </c>
      <c r="L40" s="3"/>
      <c r="M40" s="3"/>
      <c r="N40" s="3"/>
      <c r="O40" s="3"/>
      <c r="P40" s="3"/>
      <c r="Q40" s="3"/>
      <c r="R40" s="3"/>
      <c r="S40" s="3"/>
      <c r="T40" s="3"/>
    </row>
    <row r="41" spans="1:20" s="22" customFormat="1">
      <c r="A41" s="21" t="s">
        <v>70</v>
      </c>
      <c r="B41" s="24">
        <v>58630</v>
      </c>
      <c r="C41" s="24">
        <v>61367</v>
      </c>
      <c r="D41" s="24">
        <v>62261</v>
      </c>
      <c r="E41" s="24">
        <v>70790</v>
      </c>
      <c r="F41" s="24">
        <v>97143</v>
      </c>
      <c r="G41" s="24">
        <v>93202</v>
      </c>
      <c r="H41" s="24">
        <v>98257</v>
      </c>
      <c r="I41" s="24">
        <v>111616</v>
      </c>
      <c r="J41" s="24">
        <v>107995</v>
      </c>
      <c r="K41" s="24">
        <v>110574</v>
      </c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3" t="s">
        <v>71</v>
      </c>
      <c r="B42" s="23">
        <v>3120</v>
      </c>
      <c r="C42" s="23">
        <v>3120</v>
      </c>
      <c r="D42" s="23">
        <v>3120</v>
      </c>
      <c r="E42" s="23">
        <v>3120</v>
      </c>
      <c r="F42" s="23">
        <v>3120</v>
      </c>
      <c r="G42" s="23">
        <v>3120</v>
      </c>
      <c r="H42" s="23">
        <v>3120</v>
      </c>
      <c r="I42" s="23">
        <v>3120</v>
      </c>
      <c r="J42" s="23">
        <v>3120</v>
      </c>
      <c r="K42" s="23">
        <v>3120</v>
      </c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 t="s">
        <v>72</v>
      </c>
      <c r="B43" s="23">
        <v>89493</v>
      </c>
      <c r="C43" s="23">
        <v>97245</v>
      </c>
      <c r="D43" s="23">
        <v>103879</v>
      </c>
      <c r="E43" s="23">
        <v>110551</v>
      </c>
      <c r="F43" s="23">
        <v>101793</v>
      </c>
      <c r="G43" s="23">
        <v>106216</v>
      </c>
      <c r="H43" s="23">
        <v>110659</v>
      </c>
      <c r="I43" s="23">
        <v>113890</v>
      </c>
      <c r="J43" s="23">
        <v>123060</v>
      </c>
      <c r="K43" s="23">
        <v>128345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 t="s">
        <v>73</v>
      </c>
      <c r="B44" s="23">
        <v>-2860</v>
      </c>
      <c r="C44" s="23">
        <v>-10722</v>
      </c>
      <c r="D44" s="23">
        <v>-13165</v>
      </c>
      <c r="E44" s="23">
        <v>-14901</v>
      </c>
      <c r="F44" s="23">
        <v>-13199</v>
      </c>
      <c r="G44" s="23">
        <v>-15222</v>
      </c>
      <c r="H44" s="23">
        <v>-15891</v>
      </c>
      <c r="I44" s="23">
        <v>-15242</v>
      </c>
      <c r="J44" s="23">
        <v>-13058</v>
      </c>
      <c r="K44" s="23">
        <v>-12967</v>
      </c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 t="s">
        <v>74</v>
      </c>
      <c r="B45" s="23">
        <v>15700</v>
      </c>
      <c r="C45" s="23">
        <v>19891</v>
      </c>
      <c r="D45" s="23">
        <v>22684</v>
      </c>
      <c r="E45" s="23">
        <v>28352</v>
      </c>
      <c r="F45" s="23">
        <v>31554</v>
      </c>
      <c r="G45" s="23">
        <v>34362</v>
      </c>
      <c r="H45" s="23">
        <v>38417</v>
      </c>
      <c r="I45" s="23">
        <v>38490</v>
      </c>
      <c r="J45" s="23">
        <v>39099</v>
      </c>
      <c r="K45" s="23">
        <v>41694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 t="s">
        <v>75</v>
      </c>
      <c r="B46" s="23">
        <v>-202</v>
      </c>
      <c r="C46" s="23">
        <v>-4803</v>
      </c>
      <c r="D46" s="23">
        <v>-8435</v>
      </c>
      <c r="E46" s="23">
        <v>-9047</v>
      </c>
      <c r="F46" s="23">
        <v>-7351</v>
      </c>
      <c r="G46" s="23">
        <v>-8869</v>
      </c>
      <c r="H46" s="23">
        <v>-8705</v>
      </c>
      <c r="I46" s="23">
        <v>-8938</v>
      </c>
      <c r="J46" s="23">
        <v>-10017</v>
      </c>
      <c r="K46" s="23">
        <v>-11813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 t="s">
        <v>76</v>
      </c>
      <c r="B47" s="23">
        <v>202</v>
      </c>
      <c r="C47" s="23">
        <v>4803</v>
      </c>
      <c r="D47" s="23">
        <v>8435</v>
      </c>
      <c r="E47" s="23">
        <v>9047</v>
      </c>
      <c r="F47" s="23">
        <v>7351</v>
      </c>
      <c r="G47" s="23">
        <v>8869</v>
      </c>
      <c r="H47" s="23">
        <v>8705</v>
      </c>
      <c r="I47" s="23">
        <v>8938</v>
      </c>
      <c r="J47" s="23">
        <v>10017</v>
      </c>
      <c r="K47" s="23">
        <v>11813</v>
      </c>
      <c r="L47" s="3"/>
      <c r="M47" s="3"/>
      <c r="N47" s="3"/>
      <c r="O47" s="3"/>
      <c r="P47" s="3"/>
      <c r="Q47" s="3"/>
      <c r="R47" s="3"/>
      <c r="S47" s="3"/>
      <c r="T47" s="3"/>
    </row>
    <row r="48" spans="1:20" s="22" customFormat="1">
      <c r="A48" s="21" t="s">
        <v>77</v>
      </c>
      <c r="B48" s="24">
        <v>74053</v>
      </c>
      <c r="C48" s="24">
        <v>69752</v>
      </c>
      <c r="D48" s="24">
        <v>71150</v>
      </c>
      <c r="E48" s="24">
        <v>70418</v>
      </c>
      <c r="F48" s="24">
        <v>60160</v>
      </c>
      <c r="G48" s="24">
        <v>59752</v>
      </c>
      <c r="H48" s="24">
        <v>59471</v>
      </c>
      <c r="I48" s="24">
        <v>63278</v>
      </c>
      <c r="J48" s="24">
        <v>74023</v>
      </c>
      <c r="K48" s="24">
        <v>76804</v>
      </c>
      <c r="L48" s="21"/>
      <c r="M48" s="21"/>
      <c r="N48" s="21"/>
      <c r="O48" s="21"/>
      <c r="P48" s="21"/>
      <c r="Q48" s="21"/>
      <c r="R48" s="21"/>
      <c r="S48" s="21"/>
      <c r="T48" s="21"/>
    </row>
    <row r="49" spans="1:14" s="22" customFormat="1">
      <c r="A49" s="21" t="s">
        <v>78</v>
      </c>
      <c r="B49" s="24">
        <v>132683</v>
      </c>
      <c r="C49" s="24">
        <v>131119</v>
      </c>
      <c r="D49" s="24">
        <v>133411</v>
      </c>
      <c r="E49" s="24">
        <v>141208</v>
      </c>
      <c r="F49" s="24">
        <v>157303</v>
      </c>
      <c r="G49" s="24">
        <v>152954</v>
      </c>
      <c r="H49" s="24">
        <v>157728</v>
      </c>
      <c r="I49" s="24">
        <v>174894</v>
      </c>
      <c r="J49" s="24">
        <v>182018</v>
      </c>
      <c r="K49" s="24">
        <v>187378</v>
      </c>
    </row>
    <row r="50" spans="1:14" s="22" customFormat="1">
      <c r="A50" s="21" t="s">
        <v>183</v>
      </c>
      <c r="B50" s="24">
        <f>B24-18557</f>
        <v>1866</v>
      </c>
      <c r="C50" s="24">
        <f>C24-B24</f>
        <v>136</v>
      </c>
      <c r="D50" s="24">
        <f t="shared" ref="D50:K50" si="1">D24-C24</f>
        <v>184</v>
      </c>
      <c r="E50" s="24">
        <f t="shared" si="1"/>
        <v>1118</v>
      </c>
      <c r="F50" s="24">
        <f t="shared" si="1"/>
        <v>2600</v>
      </c>
      <c r="G50" s="24">
        <f t="shared" si="1"/>
        <v>355</v>
      </c>
      <c r="H50" s="24">
        <f t="shared" si="1"/>
        <v>858</v>
      </c>
      <c r="I50" s="24">
        <f t="shared" si="1"/>
        <v>2364</v>
      </c>
      <c r="J50" s="24">
        <f t="shared" si="1"/>
        <v>679</v>
      </c>
      <c r="K50" s="24">
        <f t="shared" si="1"/>
        <v>733</v>
      </c>
    </row>
    <row r="51" spans="1:14" s="22" customFormat="1">
      <c r="A51" s="21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3" spans="1:14">
      <c r="A53" s="12" t="s">
        <v>112</v>
      </c>
      <c r="B53" s="13">
        <f>B22/B35</f>
        <v>2.1969620253164557</v>
      </c>
      <c r="C53" s="13">
        <f t="shared" ref="C53:K53" si="2">C22/C35</f>
        <v>2.3644010364759818</v>
      </c>
      <c r="D53" s="13">
        <f t="shared" si="2"/>
        <v>2.1699643204670775</v>
      </c>
      <c r="E53" s="13">
        <f t="shared" si="2"/>
        <v>2.4739224711834749</v>
      </c>
      <c r="F53" s="13">
        <f t="shared" si="2"/>
        <v>1.4110095949176409</v>
      </c>
      <c r="G53" s="13">
        <f t="shared" si="2"/>
        <v>1.4739993595901377</v>
      </c>
      <c r="H53" s="13">
        <f t="shared" si="2"/>
        <v>1.2588699810922033</v>
      </c>
      <c r="I53" s="13">
        <f t="shared" si="2"/>
        <v>1.205775068834867</v>
      </c>
      <c r="J53" s="13">
        <f t="shared" si="2"/>
        <v>1.3483173395834254</v>
      </c>
      <c r="K53" s="13">
        <f t="shared" si="2"/>
        <v>0.99089638364216337</v>
      </c>
    </row>
    <row r="54" spans="1:14">
      <c r="A54" s="12" t="s">
        <v>113</v>
      </c>
      <c r="B54" s="13">
        <f>(B22-B18)/B35</f>
        <v>1.890126582278481</v>
      </c>
      <c r="C54" s="13">
        <f t="shared" ref="C54:K54" si="3">(C22-C18)/C35</f>
        <v>2.0381502890173411</v>
      </c>
      <c r="D54" s="13">
        <f t="shared" si="3"/>
        <v>1.8797347460986773</v>
      </c>
      <c r="E54" s="13">
        <f t="shared" si="3"/>
        <v>2.1641115380225968</v>
      </c>
      <c r="F54" s="13">
        <f t="shared" si="3"/>
        <v>1.1239807446703998</v>
      </c>
      <c r="G54" s="13">
        <f t="shared" si="3"/>
        <v>1.1986551392891451</v>
      </c>
      <c r="H54" s="13">
        <f t="shared" si="3"/>
        <v>1.0080636191747303</v>
      </c>
      <c r="I54" s="13">
        <f t="shared" si="3"/>
        <v>0.9858800272986139</v>
      </c>
      <c r="J54" s="13">
        <f t="shared" si="3"/>
        <v>1.1186485649847433</v>
      </c>
      <c r="K54" s="13">
        <f t="shared" si="3"/>
        <v>0.7671947242034336</v>
      </c>
    </row>
    <row r="55" spans="1:14">
      <c r="A55" s="12" t="s">
        <v>114</v>
      </c>
      <c r="B55" s="13">
        <f>B14/B35</f>
        <v>0.81507302823758521</v>
      </c>
      <c r="C55" s="13">
        <f t="shared" ref="C55:K55" si="4">C14/C35</f>
        <v>0.57895156468008768</v>
      </c>
      <c r="D55" s="13">
        <f t="shared" si="4"/>
        <v>0.4949003495873428</v>
      </c>
      <c r="E55" s="13">
        <f t="shared" si="4"/>
        <v>0.72172556777114161</v>
      </c>
      <c r="F55" s="13">
        <f t="shared" si="4"/>
        <v>0.58368536529456072</v>
      </c>
      <c r="G55" s="13">
        <f t="shared" si="4"/>
        <v>0.57979506884406018</v>
      </c>
      <c r="H55" s="13">
        <f t="shared" si="4"/>
        <v>0.48117562006450898</v>
      </c>
      <c r="I55" s="13">
        <f t="shared" si="4"/>
        <v>0.3291130303814746</v>
      </c>
      <c r="J55" s="13">
        <f t="shared" si="4"/>
        <v>0.32032459204882147</v>
      </c>
      <c r="K55" s="13">
        <f t="shared" si="4"/>
        <v>0.25316296906920899</v>
      </c>
    </row>
    <row r="56" spans="1:14">
      <c r="N56" s="23"/>
    </row>
    <row r="57" spans="1:14">
      <c r="A57" s="12" t="s">
        <v>87</v>
      </c>
      <c r="B57" s="33">
        <f>(B29-B48)/B29</f>
        <v>0.44188027102190935</v>
      </c>
      <c r="C57" s="33">
        <f t="shared" ref="C57:K57" si="5">(C29-C48)/C29</f>
        <v>0.46802522899045906</v>
      </c>
      <c r="D57" s="33">
        <f t="shared" si="5"/>
        <v>0.46668565560560971</v>
      </c>
      <c r="E57" s="33">
        <f t="shared" si="5"/>
        <v>0.50131720582403261</v>
      </c>
      <c r="F57" s="33">
        <f t="shared" si="5"/>
        <v>0.61755338423297712</v>
      </c>
      <c r="G57" s="33">
        <f t="shared" si="5"/>
        <v>0.60934660093884441</v>
      </c>
      <c r="H57" s="33">
        <f t="shared" si="5"/>
        <v>0.62295217082572529</v>
      </c>
      <c r="I57" s="33">
        <f t="shared" si="5"/>
        <v>0.63819227646460142</v>
      </c>
      <c r="J57" s="33">
        <f t="shared" si="5"/>
        <v>0.59332044083552171</v>
      </c>
      <c r="K57" s="33">
        <f t="shared" si="5"/>
        <v>0.59011196618599837</v>
      </c>
      <c r="N57" s="23"/>
    </row>
    <row r="58" spans="1:14">
      <c r="A58" s="12" t="s">
        <v>89</v>
      </c>
      <c r="B58" s="33">
        <f>(B29-B48)/B48</f>
        <v>0.79173024725534413</v>
      </c>
      <c r="C58" s="33">
        <f t="shared" ref="C58:K58" si="6">(C29-C48)/C48</f>
        <v>0.87978839316435375</v>
      </c>
      <c r="D58" s="33">
        <f t="shared" si="6"/>
        <v>0.87506676036542519</v>
      </c>
      <c r="E58" s="33">
        <f t="shared" si="6"/>
        <v>1.0052827402084694</v>
      </c>
      <c r="F58" s="33">
        <f t="shared" si="6"/>
        <v>1.6147440159574469</v>
      </c>
      <c r="G58" s="33">
        <f t="shared" si="6"/>
        <v>1.5598138974427633</v>
      </c>
      <c r="H58" s="33">
        <f t="shared" si="6"/>
        <v>1.6521834171276757</v>
      </c>
      <c r="I58" s="33">
        <f t="shared" si="6"/>
        <v>1.7638989854293752</v>
      </c>
      <c r="J58" s="33">
        <f t="shared" si="6"/>
        <v>1.4589384380530375</v>
      </c>
      <c r="K58" s="33">
        <f t="shared" si="6"/>
        <v>1.4396906411124422</v>
      </c>
      <c r="N58" s="25"/>
    </row>
    <row r="59" spans="1:14">
      <c r="A59" s="8" t="s">
        <v>91</v>
      </c>
      <c r="B59" s="33">
        <f>1+B58</f>
        <v>1.791730247255344</v>
      </c>
      <c r="C59" s="33">
        <f t="shared" ref="C59:K59" si="7">1+C58</f>
        <v>1.8797883931643538</v>
      </c>
      <c r="D59" s="33">
        <f t="shared" si="7"/>
        <v>1.8750667603654252</v>
      </c>
      <c r="E59" s="33">
        <f t="shared" si="7"/>
        <v>2.0052827402084694</v>
      </c>
      <c r="F59" s="33">
        <f t="shared" si="7"/>
        <v>2.6147440159574469</v>
      </c>
      <c r="G59" s="33">
        <f t="shared" si="7"/>
        <v>2.5598138974427633</v>
      </c>
      <c r="H59" s="33">
        <f t="shared" si="7"/>
        <v>2.6521834171276755</v>
      </c>
      <c r="I59" s="33">
        <f t="shared" si="7"/>
        <v>2.7638989854293752</v>
      </c>
      <c r="J59" s="33">
        <f t="shared" si="7"/>
        <v>2.4589384380530372</v>
      </c>
      <c r="K59" s="33">
        <f t="shared" si="7"/>
        <v>2.4396906411124419</v>
      </c>
      <c r="N59" s="25"/>
    </row>
    <row r="60" spans="1:14">
      <c r="A60" s="8" t="s">
        <v>93</v>
      </c>
      <c r="B60" s="33">
        <f>B36/B29</f>
        <v>0.10044994460480997</v>
      </c>
      <c r="C60" s="33">
        <f t="shared" ref="C60:K60" si="8">C36/C29</f>
        <v>0.11533034876715045</v>
      </c>
      <c r="D60" s="33">
        <f t="shared" si="8"/>
        <v>9.6371363680656019E-2</v>
      </c>
      <c r="E60" s="33">
        <f t="shared" si="8"/>
        <v>0.15892867259645346</v>
      </c>
      <c r="F60" s="33">
        <f t="shared" si="8"/>
        <v>0.1950058167994253</v>
      </c>
      <c r="G60" s="33">
        <f t="shared" si="8"/>
        <v>0.18099559344639565</v>
      </c>
      <c r="H60" s="33">
        <f t="shared" si="8"/>
        <v>0.16797271251775209</v>
      </c>
      <c r="I60" s="33">
        <f t="shared" si="8"/>
        <v>0.18659873980811234</v>
      </c>
      <c r="J60" s="33">
        <f t="shared" si="8"/>
        <v>0.16473645463635464</v>
      </c>
      <c r="K60" s="33">
        <f t="shared" si="8"/>
        <v>0.14349603475327946</v>
      </c>
    </row>
    <row r="62" spans="1:14">
      <c r="A62" s="8" t="s">
        <v>178</v>
      </c>
      <c r="B62" s="13">
        <f>B23/IS!B14</f>
        <v>0.52071180166030961</v>
      </c>
      <c r="C62" s="13">
        <f>C23/IS!C14</f>
        <v>0.49353567152332134</v>
      </c>
      <c r="D62" s="13">
        <f>D23/IS!D14</f>
        <v>0.52298998201900848</v>
      </c>
      <c r="E62" s="13">
        <f>E23/IS!E14</f>
        <v>0.52542773682014188</v>
      </c>
      <c r="F62" s="13">
        <f>F23/IS!F14</f>
        <v>0.54239372138652719</v>
      </c>
      <c r="G62" s="13">
        <f>G23/IS!G14</f>
        <v>0.51299935033892696</v>
      </c>
      <c r="H62" s="13">
        <f>H23/IS!H14</f>
        <v>0.52805907944283992</v>
      </c>
      <c r="I62" s="13">
        <f>I23/IS!I14</f>
        <v>0.5667441635183571</v>
      </c>
      <c r="J62" s="13">
        <f>J23/IS!J14</f>
        <v>0.50844041588909628</v>
      </c>
      <c r="K62" s="13">
        <f>K23/IS!K14</f>
        <v>0.51876388991289513</v>
      </c>
      <c r="L62" s="13">
        <f t="shared" ref="L62:L71" si="9">AVERAGE(B62:K62)</f>
        <v>0.52400658125114252</v>
      </c>
    </row>
    <row r="63" spans="1:14">
      <c r="A63" s="8" t="s">
        <v>179</v>
      </c>
      <c r="B63" s="13">
        <f>B22/IS!B15</f>
        <v>0.79098889387480364</v>
      </c>
      <c r="C63" s="13">
        <f>C22/IS!C15</f>
        <v>0.79793087675397878</v>
      </c>
      <c r="D63" s="13">
        <f>D22/IS!D15</f>
        <v>0.85923452350372465</v>
      </c>
      <c r="E63" s="13">
        <f>E22/IS!E15</f>
        <v>0.9046042565029907</v>
      </c>
      <c r="F63" s="13">
        <f>F22/IS!F15</f>
        <v>0.56361020274689344</v>
      </c>
      <c r="G63" s="13">
        <f>G22/IS!G15</f>
        <v>0.56426128632892458</v>
      </c>
      <c r="H63" s="13">
        <f>H22/IS!H15</f>
        <v>0.55172497836922219</v>
      </c>
      <c r="I63" s="13">
        <f>I22/IS!I15</f>
        <v>0.6204228421970357</v>
      </c>
      <c r="J63" s="13">
        <f>J22/IS!J15</f>
        <v>0.65026926153025855</v>
      </c>
      <c r="K63" s="13">
        <f>K22/IS!K15</f>
        <v>0.58239154018727024</v>
      </c>
      <c r="L63" s="13">
        <f t="shared" si="9"/>
        <v>0.68854386619951025</v>
      </c>
    </row>
    <row r="64" spans="1:14">
      <c r="A64" s="8" t="s">
        <v>180</v>
      </c>
      <c r="B64" s="13">
        <f>B14/IS!B14</f>
        <v>0.29345692169620824</v>
      </c>
      <c r="C64" s="13">
        <f>C14/IS!C14</f>
        <v>0.19538281470718813</v>
      </c>
      <c r="D64" s="13">
        <f>D14/IS!D14</f>
        <v>0.19596426634700459</v>
      </c>
      <c r="E64" s="13">
        <f>E14/IS!E14</f>
        <v>0.26390318542217278</v>
      </c>
      <c r="F64" s="13">
        <f>F14/IS!F14</f>
        <v>0.23314584695879659</v>
      </c>
      <c r="G64" s="13">
        <f>G14/IS!G14</f>
        <v>0.22195118961522903</v>
      </c>
      <c r="H64" s="13">
        <f>H14/IS!H14</f>
        <v>0.21088485114368929</v>
      </c>
      <c r="I64" s="13">
        <f>I14/IS!I14</f>
        <v>0.16934272982660079</v>
      </c>
      <c r="J64" s="13">
        <f>J14/IS!J14</f>
        <v>0.15448680351906158</v>
      </c>
      <c r="K64" s="13">
        <f>K14/IS!K14</f>
        <v>0.14879453988182384</v>
      </c>
      <c r="L64" s="13">
        <f t="shared" si="9"/>
        <v>0.20873131491177749</v>
      </c>
    </row>
    <row r="65" spans="1:24">
      <c r="A65" s="8" t="s">
        <v>214</v>
      </c>
      <c r="B65" s="13">
        <f>B17/IS!B14</f>
        <v>0.16425005609154139</v>
      </c>
      <c r="C65" s="13">
        <f>C17/IS!C14</f>
        <v>0.14778490804644093</v>
      </c>
      <c r="D65" s="13">
        <f>D17/IS!D14</f>
        <v>0.15318092302423153</v>
      </c>
      <c r="E65" s="13">
        <f>E17/IS!E14</f>
        <v>0.16273473362080956</v>
      </c>
      <c r="F65" s="13">
        <f>F17/IS!F14</f>
        <v>0.1764551994767822</v>
      </c>
      <c r="G65" s="13">
        <f>G17/IS!G14</f>
        <v>0.17280984542969563</v>
      </c>
      <c r="H65" s="13">
        <f>H17/IS!H14</f>
        <v>0.17647058823529413</v>
      </c>
      <c r="I65" s="13">
        <f>I17/IS!I14</f>
        <v>0.16439019664826116</v>
      </c>
      <c r="J65" s="13">
        <f>J17/IS!J14</f>
        <v>0.16297520661157025</v>
      </c>
      <c r="K65" s="13">
        <f>K17/IS!K14</f>
        <v>0.17020738759044901</v>
      </c>
      <c r="L65" s="13">
        <f t="shared" si="9"/>
        <v>0.16512590447750758</v>
      </c>
    </row>
    <row r="66" spans="1:24">
      <c r="A66" s="8" t="s">
        <v>181</v>
      </c>
      <c r="B66" s="13">
        <f>SUM(B26:B28)/IS!B14</f>
        <v>0.83528718869194529</v>
      </c>
      <c r="C66" s="13">
        <f>SUM(C26:C28)/IS!C14</f>
        <v>0.7491087164171073</v>
      </c>
      <c r="D66" s="13">
        <f>SUM(D26:D28)/IS!D14</f>
        <v>0.817649912949168</v>
      </c>
      <c r="E66" s="13">
        <f>SUM(E26:E28)/IS!E14</f>
        <v>0.83828070663513699</v>
      </c>
      <c r="F66" s="13">
        <f>SUM(F26:F28)/IS!F14</f>
        <v>1.2715500327011118</v>
      </c>
      <c r="G66" s="13">
        <f>SUM(G26:G28)/IS!G14</f>
        <v>1.1018006643703804</v>
      </c>
      <c r="H66" s="13">
        <f>SUM(H26:H28)/IS!H14</f>
        <v>1.1552175873456902</v>
      </c>
      <c r="I66" s="13">
        <f>SUM(I26:I28)/IS!I14</f>
        <v>1.2701128547902742</v>
      </c>
      <c r="J66" s="13">
        <f>SUM(J26:J28)/IS!J14</f>
        <v>1.0885310583844308</v>
      </c>
      <c r="K66" s="13">
        <f>SUM(K26:K28)/IS!K14</f>
        <v>1.182614832057129</v>
      </c>
      <c r="L66" s="13">
        <f t="shared" si="9"/>
        <v>1.0310153554342374</v>
      </c>
    </row>
    <row r="67" spans="1:24">
      <c r="A67" s="8" t="s">
        <v>184</v>
      </c>
      <c r="B67" s="13">
        <f>B15/IS!B14</f>
        <v>0.11609546780345524</v>
      </c>
      <c r="C67" s="13">
        <f>C15/IS!C14</f>
        <v>0.24977465660357051</v>
      </c>
      <c r="D67" s="13">
        <f>D15/IS!D14</f>
        <v>0.35168536118959959</v>
      </c>
      <c r="E67" s="13">
        <f>E15/IS!E14</f>
        <v>0.31902907219362914</v>
      </c>
      <c r="F67" s="13">
        <f>F15/IS!F14</f>
        <v>6.1739699149771093E-3</v>
      </c>
      <c r="G67" s="13">
        <f>G15/IS!G14</f>
        <v>1.9367254630367366E-2</v>
      </c>
      <c r="H67" s="13">
        <f>H15/IS!H14</f>
        <v>2.4153353075226362E-2</v>
      </c>
      <c r="I67" s="13">
        <f>I15/IS!I14</f>
        <v>0.13561949045820013</v>
      </c>
      <c r="J67" s="13">
        <f>J15/IS!J14</f>
        <v>0.18257531324980006</v>
      </c>
      <c r="K67" s="13">
        <f>K15/IS!K14</f>
        <v>9.892251140157779E-2</v>
      </c>
      <c r="L67" s="13">
        <f t="shared" si="9"/>
        <v>0.15033964505204031</v>
      </c>
    </row>
    <row r="68" spans="1:24">
      <c r="A68" s="8" t="s">
        <v>185</v>
      </c>
      <c r="B68" s="13">
        <f>B50/B23</f>
        <v>5.0251797592437995E-2</v>
      </c>
      <c r="C68" s="13">
        <f>C50/C23</f>
        <v>3.7072372904456861E-3</v>
      </c>
      <c r="D68" s="13">
        <f t="shared" ref="D68:I68" si="10">D50/D23</f>
        <v>5.0207378301680853E-3</v>
      </c>
      <c r="E68" s="13">
        <f t="shared" si="10"/>
        <v>2.9597860905938102E-2</v>
      </c>
      <c r="F68" s="13">
        <f t="shared" si="10"/>
        <v>6.2701972700525729E-2</v>
      </c>
      <c r="G68" s="13">
        <f t="shared" si="10"/>
        <v>8.4824735370719936E-3</v>
      </c>
      <c r="H68" s="13">
        <f t="shared" si="10"/>
        <v>1.980060924951537E-2</v>
      </c>
      <c r="I68" s="13">
        <f t="shared" si="10"/>
        <v>5.0508503546705406E-2</v>
      </c>
      <c r="J68" s="13">
        <f>J50/J23</f>
        <v>1.4241070492250258E-2</v>
      </c>
      <c r="K68" s="13">
        <f>K50/K23</f>
        <v>1.4882342192353765E-2</v>
      </c>
      <c r="L68" s="13">
        <f t="shared" si="9"/>
        <v>2.5919460533741241E-2</v>
      </c>
      <c r="M68" s="13"/>
      <c r="N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>
      <c r="A69" s="8" t="s">
        <v>215</v>
      </c>
      <c r="B69" s="13">
        <f>B18/IS!B14</f>
        <v>0.1104722907785506</v>
      </c>
      <c r="C69" s="13">
        <f>C18/IS!C14</f>
        <v>0.11010211082859103</v>
      </c>
      <c r="D69" s="13">
        <f>D18/IS!D14</f>
        <v>0.11492136883865628</v>
      </c>
      <c r="E69" s="13">
        <f>E18/IS!E14</f>
        <v>0.11328418417026012</v>
      </c>
      <c r="F69" s="13">
        <f>F18/IS!F14</f>
        <v>0.11465009810333551</v>
      </c>
      <c r="G69" s="13">
        <f>G18/IS!G14</f>
        <v>0.10540444466236011</v>
      </c>
      <c r="H69" s="13">
        <f>H18/IS!H14</f>
        <v>0.10992091056435004</v>
      </c>
      <c r="I69" s="13">
        <f>I18/IS!I14</f>
        <v>0.11314540346798412</v>
      </c>
      <c r="J69" s="13">
        <f>J18/IS!J14</f>
        <v>0.11076512929885364</v>
      </c>
      <c r="K69" s="13">
        <f>K18/IS!K14</f>
        <v>0.13147888733239943</v>
      </c>
      <c r="L69" s="13">
        <f t="shared" si="9"/>
        <v>0.11341448280453408</v>
      </c>
    </row>
    <row r="70" spans="1:24">
      <c r="A70" s="8" t="s">
        <v>217</v>
      </c>
      <c r="B70" s="13">
        <f>(B19+B20+B21)/IS!B14</f>
        <v>0.10671415750504824</v>
      </c>
      <c r="C70" s="13">
        <f>(C19+C20+C21)/IS!C14</f>
        <v>9.4886386568188236E-2</v>
      </c>
      <c r="D70" s="13">
        <f>(D19+D20+D21)/IS!D14</f>
        <v>4.3482604104232665E-2</v>
      </c>
      <c r="E70" s="13">
        <f>(E19+E20+E21)/IS!E14</f>
        <v>4.5653081096119069E-2</v>
      </c>
      <c r="F70" s="13">
        <f>(F19+F20+F21)/IS!F14</f>
        <v>3.3185088293001964E-2</v>
      </c>
      <c r="G70" s="13">
        <f>(G19+G20+G21)/IS!G14</f>
        <v>4.4728551991272479E-2</v>
      </c>
      <c r="H70" s="13">
        <f>(H19+H20+H21)/IS!H14</f>
        <v>3.0295275350662329E-2</v>
      </c>
      <c r="I70" s="13">
        <f>(I19+I20+I21)/IS!I14</f>
        <v>3.7925021795989541E-2</v>
      </c>
      <c r="J70" s="13">
        <f>(J19+J20+J21)/IS!J14</f>
        <v>3.9466808850973076E-2</v>
      </c>
      <c r="K70" s="13">
        <f>(K19+K20+K21)/IS!K14</f>
        <v>3.2988213981020191E-2</v>
      </c>
      <c r="L70" s="13">
        <f t="shared" si="9"/>
        <v>5.0932518953650786E-2</v>
      </c>
    </row>
    <row r="71" spans="1:24">
      <c r="A71" t="s">
        <v>169</v>
      </c>
      <c r="B71" s="13">
        <f>(B31+B32+B33)/IS!B14</f>
        <v>0.360037581332735</v>
      </c>
      <c r="C71" s="13">
        <f>(C31+C32+C33)/IS!C14</f>
        <v>0.3374769611602158</v>
      </c>
      <c r="D71" s="13">
        <f>(D31+D32+D33)/IS!D14</f>
        <v>0.39596712047264321</v>
      </c>
      <c r="E71" s="13">
        <f>(E31+E32+E33)/IS!E14</f>
        <v>0.36565586312421755</v>
      </c>
      <c r="F71" s="13">
        <f>(F31+F32+F33)/IS!F14</f>
        <v>0.39943754087638977</v>
      </c>
      <c r="G71" s="13">
        <f>(G31+G32+G33)/IS!G14</f>
        <v>0.38280972285213472</v>
      </c>
      <c r="H71" s="13">
        <f>(H31+H32+H33)/IS!H14</f>
        <v>0.4382700252257522</v>
      </c>
      <c r="I71" s="13">
        <f>(I31+I32+I33)/IS!I14</f>
        <v>0.51454276857502668</v>
      </c>
      <c r="J71" s="13">
        <f>(J31+J32+J33)/IS!J14</f>
        <v>0.48228205811783526</v>
      </c>
      <c r="K71" s="13">
        <f>(K31+K32+K33)/IS!K14</f>
        <v>0.58774211895558393</v>
      </c>
      <c r="L71" s="13">
        <f t="shared" si="9"/>
        <v>0.42642217606925337</v>
      </c>
    </row>
  </sheetData>
  <sortState xmlns:xlrd2="http://schemas.microsoft.com/office/spreadsheetml/2017/richdata2" columnSort="1" ref="F11:K49">
    <sortCondition descending="1" ref="F11:K11"/>
  </sortState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DB6D-CE78-4C8F-A818-D2DDB640266C}">
  <dimension ref="A4:K46"/>
  <sheetViews>
    <sheetView workbookViewId="0">
      <selection activeCell="W27" sqref="W27"/>
    </sheetView>
  </sheetViews>
  <sheetFormatPr baseColWidth="10" defaultColWidth="8.83203125" defaultRowHeight="13"/>
  <cols>
    <col min="1" max="1" width="29.1640625" customWidth="1"/>
  </cols>
  <sheetData>
    <row r="4" spans="1:11">
      <c r="A4" s="27" t="s">
        <v>107</v>
      </c>
    </row>
    <row r="5" spans="1:11" ht="20">
      <c r="A5" s="28" t="s">
        <v>108</v>
      </c>
    </row>
    <row r="7" spans="1:11">
      <c r="A7" s="8" t="s">
        <v>79</v>
      </c>
      <c r="B7">
        <v>2013</v>
      </c>
      <c r="C7">
        <v>2014</v>
      </c>
      <c r="D7">
        <f>C7+1</f>
        <v>2015</v>
      </c>
      <c r="E7">
        <f t="shared" ref="E7:K7" si="0">D7+1</f>
        <v>2016</v>
      </c>
      <c r="F7">
        <f t="shared" si="0"/>
        <v>2017</v>
      </c>
      <c r="G7">
        <f t="shared" si="0"/>
        <v>2018</v>
      </c>
      <c r="H7">
        <f t="shared" si="0"/>
        <v>2019</v>
      </c>
      <c r="I7">
        <f t="shared" si="0"/>
        <v>2020</v>
      </c>
      <c r="J7">
        <f t="shared" si="0"/>
        <v>2021</v>
      </c>
      <c r="K7">
        <f t="shared" si="0"/>
        <v>2022</v>
      </c>
    </row>
    <row r="8" spans="1:11" ht="28">
      <c r="A8" s="1" t="s">
        <v>0</v>
      </c>
      <c r="B8" s="2" t="s">
        <v>10</v>
      </c>
      <c r="C8" s="2" t="s">
        <v>9</v>
      </c>
      <c r="D8" s="2" t="s">
        <v>8</v>
      </c>
      <c r="E8" s="2" t="s">
        <v>7</v>
      </c>
      <c r="F8" s="2" t="s">
        <v>6</v>
      </c>
      <c r="G8" s="2" t="s">
        <v>5</v>
      </c>
      <c r="H8" s="2" t="s">
        <v>4</v>
      </c>
      <c r="I8" s="2" t="s">
        <v>3</v>
      </c>
      <c r="J8" s="2" t="s">
        <v>2</v>
      </c>
      <c r="K8" s="2" t="s">
        <v>1</v>
      </c>
    </row>
    <row r="9" spans="1:11" ht="14">
      <c r="A9" s="1" t="s">
        <v>11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</row>
    <row r="10" spans="1:11" ht="14">
      <c r="A10" s="1" t="s">
        <v>13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</row>
    <row r="11" spans="1:11">
      <c r="A11" s="3" t="s">
        <v>43</v>
      </c>
      <c r="B11" s="9">
        <f>BS!B14/BS!B$29</f>
        <v>0.15772178802107278</v>
      </c>
      <c r="C11" s="9">
        <f>BS!C14/BS!C$29</f>
        <v>0.11076197957580518</v>
      </c>
      <c r="D11" s="9">
        <f>BS!D14/BS!D$29</f>
        <v>0.10293004324980699</v>
      </c>
      <c r="E11" s="9">
        <f>BS!E14/BS!E$29</f>
        <v>0.13435499405132853</v>
      </c>
      <c r="F11" s="9">
        <f>BS!F14/BS!F$29</f>
        <v>0.11330998137352752</v>
      </c>
      <c r="G11" s="9">
        <f>BS!G14/BS!G$29</f>
        <v>0.11838199720177309</v>
      </c>
      <c r="H11" s="9">
        <f>BS!H14/BS!H$29</f>
        <v>0.10971419151957801</v>
      </c>
      <c r="I11" s="9">
        <f>BS!I14/BS!I$29</f>
        <v>7.9962720276281637E-2</v>
      </c>
      <c r="J11" s="9">
        <f>BS!J14/BS!J$29</f>
        <v>7.9591029458624965E-2</v>
      </c>
      <c r="K11" s="9">
        <f>BS!K14/BS!K$29</f>
        <v>7.5393055748273541E-2</v>
      </c>
    </row>
    <row r="12" spans="1:11">
      <c r="A12" s="3" t="s">
        <v>44</v>
      </c>
      <c r="B12" s="9">
        <f>BS!B15/BS!B$29</f>
        <v>6.2396840589977617E-2</v>
      </c>
      <c r="C12" s="9">
        <f>BS!C15/BS!C$29</f>
        <v>0.14159656495244777</v>
      </c>
      <c r="D12" s="9">
        <f>BS!D15/BS!D$29</f>
        <v>0.18472239920246455</v>
      </c>
      <c r="E12" s="9">
        <f>BS!E15/BS!E$29</f>
        <v>0.16241997620531415</v>
      </c>
      <c r="F12" s="9">
        <f>BS!F15/BS!F$29</f>
        <v>3.0005785013636102E-3</v>
      </c>
      <c r="G12" s="9">
        <f>BS!G15/BS!G$29</f>
        <v>1.0329903108124011E-2</v>
      </c>
      <c r="H12" s="9">
        <f>BS!H15/BS!H$29</f>
        <v>1.2565936295394603E-2</v>
      </c>
      <c r="I12" s="9">
        <f>BS!I15/BS!I$29</f>
        <v>6.4038789209464014E-2</v>
      </c>
      <c r="J12" s="9">
        <f>BS!J15/BS!J$29</f>
        <v>9.4062125723829507E-2</v>
      </c>
      <c r="K12" s="9">
        <f>BS!K15/BS!K$29</f>
        <v>5.0123280214326119E-2</v>
      </c>
    </row>
    <row r="13" spans="1:11">
      <c r="A13" s="3" t="s">
        <v>45</v>
      </c>
      <c r="B13" s="9">
        <f>BS!B16/BS!B$29</f>
        <v>0.22011862861105039</v>
      </c>
      <c r="C13" s="9">
        <f>BS!C16/BS!C$29</f>
        <v>0.25235854452825296</v>
      </c>
      <c r="D13" s="9">
        <f>BS!D16/BS!D$29</f>
        <v>0.28765244245227156</v>
      </c>
      <c r="E13" s="9">
        <f>BS!E16/BS!E$29</f>
        <v>0.29677497025664268</v>
      </c>
      <c r="F13" s="9">
        <f>BS!F16/BS!F$29</f>
        <v>0.11631055987489114</v>
      </c>
      <c r="G13" s="9">
        <f>BS!G16/BS!G$29</f>
        <v>0.1287119003098971</v>
      </c>
      <c r="H13" s="9">
        <f>BS!H16/BS!H$29</f>
        <v>0.12228012781497261</v>
      </c>
      <c r="I13" s="9">
        <f>BS!I16/BS!I$29</f>
        <v>0.14400150948574564</v>
      </c>
      <c r="J13" s="9">
        <f>BS!J16/BS!J$29</f>
        <v>0.17365315518245447</v>
      </c>
      <c r="K13" s="9">
        <f>BS!K16/BS!K$29</f>
        <v>0.12551633596259967</v>
      </c>
    </row>
    <row r="14" spans="1:11">
      <c r="A14" s="3" t="s">
        <v>46</v>
      </c>
      <c r="B14" s="9">
        <f>BS!B17/BS!B$29</f>
        <v>8.8278076317237331E-2</v>
      </c>
      <c r="C14" s="9">
        <f>BS!C17/BS!C$29</f>
        <v>8.3778857373835974E-2</v>
      </c>
      <c r="D14" s="9">
        <f>BS!D17/BS!D$29</f>
        <v>8.0458133137447443E-2</v>
      </c>
      <c r="E14" s="9">
        <f>BS!E17/BS!E$29</f>
        <v>8.2849413630955757E-2</v>
      </c>
      <c r="F14" s="9">
        <f>BS!F17/BS!F$29</f>
        <v>8.5758059286854038E-2</v>
      </c>
      <c r="G14" s="9">
        <f>BS!G17/BS!G$29</f>
        <v>9.2171502543248296E-2</v>
      </c>
      <c r="H14" s="9">
        <f>BS!H17/BS!H$29</f>
        <v>9.1809951308581869E-2</v>
      </c>
      <c r="I14" s="9">
        <f>BS!I17/BS!I$29</f>
        <v>7.762416092032888E-2</v>
      </c>
      <c r="J14" s="9">
        <f>BS!J17/BS!J$29</f>
        <v>8.3964223318572895E-2</v>
      </c>
      <c r="K14" s="9">
        <f>BS!K17/BS!K$29</f>
        <v>8.624278197013524E-2</v>
      </c>
    </row>
    <row r="15" spans="1:11">
      <c r="A15" s="3" t="s">
        <v>47</v>
      </c>
      <c r="B15" s="9">
        <f>BS!B18/BS!B$29</f>
        <v>5.9374599609595805E-2</v>
      </c>
      <c r="C15" s="9">
        <f>BS!C18/BS!C$29</f>
        <v>6.2416583408964374E-2</v>
      </c>
      <c r="D15" s="9">
        <f>BS!D18/BS!D$29</f>
        <v>6.0362338937568864E-2</v>
      </c>
      <c r="E15" s="9">
        <f>BS!E18/BS!E$29</f>
        <v>5.7673786187751402E-2</v>
      </c>
      <c r="F15" s="9">
        <f>BS!F18/BS!F$29</f>
        <v>5.5720488484008568E-2</v>
      </c>
      <c r="G15" s="9">
        <f>BS!G18/BS!G$29</f>
        <v>5.6219516978960993E-2</v>
      </c>
      <c r="H15" s="9">
        <f>BS!H18/BS!H$29</f>
        <v>5.7187056198011767E-2</v>
      </c>
      <c r="I15" s="9">
        <f>BS!I18/BS!I$29</f>
        <v>5.3426646997609982E-2</v>
      </c>
      <c r="J15" s="9">
        <f>BS!J18/BS!J$29</f>
        <v>5.7065784702611831E-2</v>
      </c>
      <c r="K15" s="9">
        <f>BS!K18/BS!K$29</f>
        <v>6.6619346988440478E-2</v>
      </c>
    </row>
    <row r="16" spans="1:11">
      <c r="A16" s="3" t="s">
        <v>48</v>
      </c>
      <c r="B16" s="9">
        <f>BS!B19/BS!B$29</f>
        <v>2.7185095302337148E-2</v>
      </c>
      <c r="C16" s="9">
        <f>BS!C19/BS!C$29</f>
        <v>2.7204295334772231E-2</v>
      </c>
      <c r="D16" s="9"/>
      <c r="E16" s="9"/>
      <c r="F16" s="9"/>
      <c r="G16" s="9"/>
      <c r="H16" s="9"/>
      <c r="I16" s="9"/>
      <c r="J16" s="9"/>
      <c r="K16" s="9"/>
    </row>
    <row r="17" spans="1:11">
      <c r="A17" s="3" t="s">
        <v>49</v>
      </c>
      <c r="B17" s="9"/>
      <c r="C17" s="9"/>
      <c r="D17" s="9"/>
      <c r="E17" s="9"/>
      <c r="F17" s="9"/>
      <c r="G17" s="9">
        <f>BS!G20/BS!G$29</f>
        <v>6.2110176915935508E-3</v>
      </c>
      <c r="H17" s="9">
        <f>BS!H20/BS!H$29</f>
        <v>5.9596266991276123E-4</v>
      </c>
      <c r="I17" s="9"/>
      <c r="J17" s="9"/>
      <c r="K17" s="9"/>
    </row>
    <row r="18" spans="1:11">
      <c r="A18" s="3" t="s">
        <v>50</v>
      </c>
      <c r="B18" s="9">
        <f>BS!B21/BS!B$29</f>
        <v>3.0169652479971058E-2</v>
      </c>
      <c r="C18" s="9">
        <f>BS!C21/BS!C$29</f>
        <v>2.6586535894874121E-2</v>
      </c>
      <c r="D18" s="9">
        <f>BS!D21/BS!D$29</f>
        <v>2.2839196168232004E-2</v>
      </c>
      <c r="E18" s="9">
        <f>BS!E21/BS!E$29</f>
        <v>2.3242309217608066E-2</v>
      </c>
      <c r="F18" s="9">
        <f>BS!F21/BS!F$29</f>
        <v>1.6128109444829404E-2</v>
      </c>
      <c r="G18" s="9">
        <f>BS!G21/BS!G$29</f>
        <v>1.7645828157485256E-2</v>
      </c>
      <c r="H18" s="9">
        <f>BS!H21/BS!H$29</f>
        <v>1.5165347940758774E-2</v>
      </c>
      <c r="I18" s="9">
        <f>BS!I21/BS!I$29</f>
        <v>1.7907989982503689E-2</v>
      </c>
      <c r="J18" s="9">
        <f>BS!J21/BS!J$29</f>
        <v>2.033315386390357E-2</v>
      </c>
      <c r="K18" s="9">
        <f>BS!K21/BS!K$29</f>
        <v>1.6714875812528684E-2</v>
      </c>
    </row>
    <row r="19" spans="1:11" s="22" customFormat="1">
      <c r="A19" s="21" t="s">
        <v>51</v>
      </c>
      <c r="B19" s="31">
        <f>BS!B22/BS!B$29</f>
        <v>0.42512605232019174</v>
      </c>
      <c r="C19" s="31">
        <f>BS!C22/BS!C$29</f>
        <v>0.45234481654069969</v>
      </c>
      <c r="D19" s="31">
        <f>BS!D22/BS!D$29</f>
        <v>0.45131211069551985</v>
      </c>
      <c r="E19" s="31">
        <f>BS!E22/BS!E$29</f>
        <v>0.46054047929295788</v>
      </c>
      <c r="F19" s="31">
        <f>BS!F22/BS!F$29</f>
        <v>0.27391721709058314</v>
      </c>
      <c r="G19" s="31">
        <f>BS!G22/BS!G$29</f>
        <v>0.30095976568118521</v>
      </c>
      <c r="H19" s="31">
        <f>BS!H22/BS!H$29</f>
        <v>0.28703844593223776</v>
      </c>
      <c r="I19" s="31">
        <f>BS!I22/BS!I$29</f>
        <v>0.29296030738618822</v>
      </c>
      <c r="J19" s="31">
        <f>BS!J22/BS!J$29</f>
        <v>0.33501631706754276</v>
      </c>
      <c r="K19" s="31">
        <f>BS!K22/BS!K$29</f>
        <v>0.29509334073370408</v>
      </c>
    </row>
    <row r="20" spans="1:11">
      <c r="A20" s="3" t="s">
        <v>52</v>
      </c>
      <c r="B20" s="9">
        <f>BS!B23/BS!B$29</f>
        <v>0.27986252948757567</v>
      </c>
      <c r="C20" s="9">
        <f>BS!C23/BS!C$29</f>
        <v>0.27978401299582822</v>
      </c>
      <c r="D20" s="9">
        <f>BS!D23/BS!D$29</f>
        <v>0.27469998725742256</v>
      </c>
      <c r="E20" s="9">
        <f>BS!E23/BS!E$29</f>
        <v>0.26749900855475611</v>
      </c>
      <c r="F20" s="9">
        <f>BS!F23/BS!F$29</f>
        <v>0.26360590707106668</v>
      </c>
      <c r="G20" s="9">
        <f>BS!G23/BS!G$29</f>
        <v>0.27361821201145442</v>
      </c>
      <c r="H20" s="9">
        <f>BS!H23/BS!H$29</f>
        <v>0.27472611077297626</v>
      </c>
      <c r="I20" s="9">
        <f>BS!I23/BS!I$29</f>
        <v>0.2676135259071209</v>
      </c>
      <c r="J20" s="9">
        <f>BS!J23/BS!J$29</f>
        <v>0.26194662066389041</v>
      </c>
      <c r="K20" s="9">
        <f>BS!K23/BS!K$29</f>
        <v>0.26285369680538806</v>
      </c>
    </row>
    <row r="21" spans="1:11">
      <c r="A21" s="3" t="s">
        <v>53</v>
      </c>
      <c r="B21" s="9">
        <f>BS!B24/BS!B$29</f>
        <v>0.15392326070408416</v>
      </c>
      <c r="C21" s="9">
        <f>BS!C24/BS!C$29</f>
        <v>0.15679649783784197</v>
      </c>
      <c r="D21" s="9">
        <f>BS!D24/BS!D$29</f>
        <v>0.15548193177474121</v>
      </c>
      <c r="E21" s="9">
        <f>BS!E24/BS!E$29</f>
        <v>0.154814174834287</v>
      </c>
      <c r="F21" s="9">
        <f>BS!F24/BS!F$29</f>
        <v>0.15550243797003235</v>
      </c>
      <c r="G21" s="9">
        <f>BS!G24/BS!G$29</f>
        <v>0.16224485793114268</v>
      </c>
      <c r="H21" s="9">
        <f>BS!H24/BS!H$29</f>
        <v>0.16277388922702374</v>
      </c>
      <c r="I21" s="9">
        <f>BS!I24/BS!I$29</f>
        <v>0.16031424748704931</v>
      </c>
      <c r="J21" s="9">
        <f>BS!J24/BS!J$29</f>
        <v>0.15777011064839741</v>
      </c>
      <c r="K21" s="9">
        <f>BS!K24/BS!K$29</f>
        <v>0.15716893125126749</v>
      </c>
    </row>
    <row r="22" spans="1:11" s="22" customFormat="1">
      <c r="A22" s="21" t="s">
        <v>54</v>
      </c>
      <c r="B22" s="31">
        <f>BS!B25/BS!B$29</f>
        <v>0.12593926878349149</v>
      </c>
      <c r="C22" s="31">
        <f>BS!C25/BS!C$29</f>
        <v>0.12298751515798625</v>
      </c>
      <c r="D22" s="31">
        <f>BS!D25/BS!D$29</f>
        <v>0.11921805548268134</v>
      </c>
      <c r="E22" s="31">
        <f>BS!E25/BS!E$29</f>
        <v>0.1126848337204691</v>
      </c>
      <c r="F22" s="31">
        <f>BS!F25/BS!F$29</f>
        <v>0.10810346910103431</v>
      </c>
      <c r="G22" s="31">
        <f>BS!G25/BS!G$29</f>
        <v>0.11137335408031172</v>
      </c>
      <c r="H22" s="31">
        <f>BS!H25/BS!H$29</f>
        <v>0.11195222154595252</v>
      </c>
      <c r="I22" s="31">
        <f>BS!I25/BS!I$29</f>
        <v>0.10729927842007159</v>
      </c>
      <c r="J22" s="31">
        <f>BS!J25/BS!J$29</f>
        <v>0.10417651001549297</v>
      </c>
      <c r="K22" s="31">
        <f>BS!K25/BS!K$29</f>
        <v>0.10568476555412054</v>
      </c>
    </row>
    <row r="23" spans="1:11">
      <c r="A23" s="3" t="s">
        <v>55</v>
      </c>
      <c r="B23" s="9">
        <f>BS!B26/BS!B$29</f>
        <v>0.38245291408846649</v>
      </c>
      <c r="C23" s="9">
        <f>BS!C26/BS!C$29</f>
        <v>0.37411816746619481</v>
      </c>
      <c r="D23" s="9">
        <f>BS!D26/BS!D$29</f>
        <v>0.35524057236659645</v>
      </c>
      <c r="E23" s="9">
        <f>BS!E26/BS!E$29</f>
        <v>0.35182850829981305</v>
      </c>
      <c r="F23" s="9">
        <f>BS!F26/BS!F$29</f>
        <v>0.54121027570993563</v>
      </c>
      <c r="G23" s="9">
        <f>BS!G26/BS!G$29</f>
        <v>0.51037566850164107</v>
      </c>
      <c r="H23" s="9">
        <f>BS!H26/BS!H$29</f>
        <v>0.51533018867924529</v>
      </c>
      <c r="I23" s="9">
        <f>BS!I26/BS!I$29</f>
        <v>0.51342527473784116</v>
      </c>
      <c r="J23" s="9">
        <f>BS!J26/BS!J$29</f>
        <v>0.44851608082717093</v>
      </c>
      <c r="K23" s="9">
        <f>BS!K26/BS!K$29</f>
        <v>0.49929020482660719</v>
      </c>
    </row>
    <row r="24" spans="1:11">
      <c r="A24" s="3" t="s">
        <v>56</v>
      </c>
      <c r="B24" s="9">
        <f>BS!B27/BS!B$29</f>
        <v>2.9182336847976002E-2</v>
      </c>
      <c r="C24" s="9">
        <f>BS!C27/BS!C$29</f>
        <v>2.5900136517209557E-2</v>
      </c>
      <c r="D24" s="9">
        <f>BS!D27/BS!D$29</f>
        <v>4.1151029525301509E-2</v>
      </c>
      <c r="E24" s="9">
        <f>BS!E27/BS!E$29</f>
        <v>4.3538609710497986E-2</v>
      </c>
      <c r="F24" s="9">
        <f>BS!F27/BS!F$29</f>
        <v>4.5167606466500955E-2</v>
      </c>
      <c r="G24" s="9">
        <f>BS!G27/BS!G$29</f>
        <v>4.9949658067131295E-2</v>
      </c>
      <c r="H24" s="9">
        <f>BS!H27/BS!H$29</f>
        <v>4.9572682085615744E-2</v>
      </c>
      <c r="I24" s="9">
        <f>BS!I27/BS!I$29</f>
        <v>4.879527027799696E-2</v>
      </c>
      <c r="J24" s="9">
        <f>BS!J27/BS!J$29</f>
        <v>5.6164774912371304E-2</v>
      </c>
      <c r="K24" s="9">
        <f>BS!K27/BS!K$29</f>
        <v>4.8687679450095528E-2</v>
      </c>
    </row>
    <row r="25" spans="1:11">
      <c r="A25" s="3" t="s">
        <v>57</v>
      </c>
      <c r="B25" s="9">
        <f>BS!B28/BS!B$29</f>
        <v>3.7299427959874287E-2</v>
      </c>
      <c r="C25" s="9">
        <f>BS!C28/BS!C$29</f>
        <v>2.4649364317909685E-2</v>
      </c>
      <c r="D25" s="9">
        <f>BS!D28/BS!D$29</f>
        <v>3.307823192990083E-2</v>
      </c>
      <c r="E25" s="9">
        <f>BS!E28/BS!E$29</f>
        <v>3.1407568976261971E-2</v>
      </c>
      <c r="F25" s="9">
        <f>BS!F28/BS!F$29</f>
        <v>3.1601431631945988E-2</v>
      </c>
      <c r="G25" s="9">
        <f>BS!G28/BS!G$29</f>
        <v>2.7341553669730768E-2</v>
      </c>
      <c r="H25" s="9">
        <f>BS!H28/BS!H$29</f>
        <v>3.610646175694867E-2</v>
      </c>
      <c r="I25" s="9">
        <f>BS!I28/BS!I$29</f>
        <v>3.7519869177902045E-2</v>
      </c>
      <c r="J25" s="9">
        <f>BS!J28/BS!J$29</f>
        <v>5.6126317177422017E-2</v>
      </c>
      <c r="K25" s="9">
        <f>BS!K28/BS!K$29</f>
        <v>5.1244009435472679E-2</v>
      </c>
    </row>
    <row r="26" spans="1:11" s="22" customFormat="1">
      <c r="A26" s="21" t="s">
        <v>58</v>
      </c>
      <c r="B26" s="31">
        <f>BS!B29/BS!B$29</f>
        <v>1</v>
      </c>
      <c r="C26" s="31">
        <f>BS!C29/BS!C$29</f>
        <v>1</v>
      </c>
      <c r="D26" s="31">
        <f>BS!D29/BS!D$29</f>
        <v>1</v>
      </c>
      <c r="E26" s="31">
        <f>BS!E29/BS!E$29</f>
        <v>1</v>
      </c>
      <c r="F26" s="31">
        <f>BS!F29/BS!F$29</f>
        <v>1</v>
      </c>
      <c r="G26" s="31">
        <f>BS!G29/BS!G$29</f>
        <v>1</v>
      </c>
      <c r="H26" s="31">
        <f>BS!H29/BS!H$29</f>
        <v>1</v>
      </c>
      <c r="I26" s="31">
        <f>BS!I29/BS!I$29</f>
        <v>1</v>
      </c>
      <c r="J26" s="31">
        <f>BS!J29/BS!J$29</f>
        <v>1</v>
      </c>
      <c r="K26" s="31">
        <f>BS!K29/BS!K$29</f>
        <v>1</v>
      </c>
    </row>
    <row r="27" spans="1:11">
      <c r="A27" s="3" t="s">
        <v>59</v>
      </c>
      <c r="B27" s="9">
        <f>BS!B30/BS!B$29</f>
        <v>0.1569379649239164</v>
      </c>
      <c r="C27" s="9">
        <f>BS!C30/BS!C$29</f>
        <v>0.16356897169746565</v>
      </c>
      <c r="D27" s="9">
        <f>BS!D30/BS!D$29</f>
        <v>0.15548193177474121</v>
      </c>
      <c r="E27" s="9">
        <f>BS!E30/BS!E$29</f>
        <v>0.15298708288482238</v>
      </c>
      <c r="F27" s="9">
        <f>BS!F30/BS!F$29</f>
        <v>0.16929747048689472</v>
      </c>
      <c r="G27" s="9">
        <f>BS!G30/BS!G$29</f>
        <v>0.18589902846607476</v>
      </c>
      <c r="H27" s="9">
        <f>BS!H30/BS!H$29</f>
        <v>0.22039206735646175</v>
      </c>
      <c r="I27" s="9">
        <f>BS!I30/BS!I$29</f>
        <v>0.22792091209532631</v>
      </c>
      <c r="J27" s="9">
        <f>BS!J30/BS!J$29</f>
        <v>0.22777967014251338</v>
      </c>
      <c r="K27" s="9">
        <f>BS!K30/BS!K$29</f>
        <v>0.22964809102455999</v>
      </c>
    </row>
    <row r="28" spans="1:11">
      <c r="A28" s="3" t="s">
        <v>60</v>
      </c>
      <c r="B28" s="9">
        <f>BS!B31/BS!B$29</f>
        <v>4.7225341603671908E-2</v>
      </c>
      <c r="C28" s="9">
        <f>BS!C31/BS!C$29</f>
        <v>5.8214293885706876E-2</v>
      </c>
      <c r="D28" s="9">
        <f>BS!D31/BS!D$29</f>
        <v>4.9980886133827049E-2</v>
      </c>
      <c r="E28" s="9">
        <f>BS!E31/BS!E$29</f>
        <v>4.89915585519234E-2</v>
      </c>
      <c r="F28" s="9">
        <f>BS!F31/BS!F$29</f>
        <v>4.6470823824084725E-2</v>
      </c>
      <c r="G28" s="9">
        <f>BS!G31/BS!G$29</f>
        <v>4.9276252991095365E-2</v>
      </c>
      <c r="H28" s="9">
        <f>BS!H31/BS!H$29</f>
        <v>5.4169202678027994E-2</v>
      </c>
      <c r="I28" s="9">
        <f>BS!I31/BS!I$29</f>
        <v>5.4347204592496028E-2</v>
      </c>
      <c r="J28" s="9">
        <f>BS!J31/BS!J$29</f>
        <v>6.0735751409201288E-2</v>
      </c>
      <c r="K28" s="9">
        <f>BS!K31/BS!K$29</f>
        <v>6.245663845275326E-2</v>
      </c>
    </row>
    <row r="29" spans="1:11">
      <c r="A29" s="3" t="s">
        <v>61</v>
      </c>
      <c r="B29" s="9">
        <f>BS!B32/BS!B$29</f>
        <v>0.10971262332024449</v>
      </c>
      <c r="C29" s="9">
        <f>BS!C32/BS!C$29</f>
        <v>0.10535467781175878</v>
      </c>
      <c r="D29" s="9">
        <f>BS!D32/BS!D$29</f>
        <v>0.10550104564091417</v>
      </c>
      <c r="E29" s="9">
        <f>BS!E32/BS!E$29</f>
        <v>0.10399552433289899</v>
      </c>
      <c r="F29" s="9">
        <f>BS!F32/BS!F$29</f>
        <v>0.12282664666280999</v>
      </c>
      <c r="G29" s="9">
        <f>BS!G32/BS!G$29</f>
        <v>0.13662277547497942</v>
      </c>
      <c r="H29" s="9">
        <f>BS!H32/BS!H$29</f>
        <v>0.16622286467843375</v>
      </c>
      <c r="I29" s="9">
        <f>BS!I32/BS!I$29</f>
        <v>0.1735737075028303</v>
      </c>
      <c r="J29" s="9">
        <f>BS!J32/BS!J$29</f>
        <v>0.16704391873331209</v>
      </c>
      <c r="K29" s="9">
        <f>BS!K32/BS!K$29</f>
        <v>0.16719145257180673</v>
      </c>
    </row>
    <row r="30" spans="1:11">
      <c r="A30" s="3" t="s">
        <v>62</v>
      </c>
      <c r="B30" s="9">
        <f>BS!B33/BS!B$29</f>
        <v>3.6568362186564972E-2</v>
      </c>
      <c r="C30" s="9">
        <f>BS!C33/BS!C$29</f>
        <v>2.7745788177152054E-2</v>
      </c>
      <c r="D30" s="9">
        <f>BS!D33/BS!D$29</f>
        <v>5.2499419088381016E-2</v>
      </c>
      <c r="E30" s="9">
        <f>BS!E33/BS!E$29</f>
        <v>3.317092516004759E-2</v>
      </c>
      <c r="F30" s="9">
        <f>BS!F33/BS!F$29</f>
        <v>2.4831058530352251E-2</v>
      </c>
      <c r="G30" s="9">
        <f>BS!G33/BS!G$29</f>
        <v>1.8280005753363755E-2</v>
      </c>
      <c r="H30" s="9">
        <f>BS!H33/BS!H$29</f>
        <v>7.6207141407993511E-3</v>
      </c>
      <c r="I30" s="9">
        <f>BS!I33/BS!I$29</f>
        <v>1.5043397715187486E-2</v>
      </c>
      <c r="J30" s="9">
        <f>BS!J33/BS!J$29</f>
        <v>2.0690261402718412E-2</v>
      </c>
      <c r="K30" s="9">
        <f>BS!K33/BS!K$29</f>
        <v>6.8156347063155764E-2</v>
      </c>
    </row>
    <row r="31" spans="1:11">
      <c r="A31" s="3" t="s">
        <v>63</v>
      </c>
      <c r="B31" s="9">
        <f>BS!B34/BS!B$29</f>
        <v>0</v>
      </c>
      <c r="C31" s="9">
        <f>BS!C34/BS!C$29</f>
        <v>0</v>
      </c>
      <c r="D31" s="9">
        <f>BS!D34/BS!D$29</f>
        <v>0</v>
      </c>
      <c r="E31" s="9">
        <f>BS!E34/BS!E$29</f>
        <v>0</v>
      </c>
      <c r="F31" s="9">
        <f>BS!F34/BS!F$29</f>
        <v>0</v>
      </c>
      <c r="G31" s="9">
        <f>BS!G34/BS!G$29</f>
        <v>0</v>
      </c>
      <c r="H31" s="9">
        <f>BS!H34/BS!H$29</f>
        <v>0</v>
      </c>
      <c r="I31" s="9">
        <f>BS!I34/BS!I$29</f>
        <v>0</v>
      </c>
      <c r="J31" s="9">
        <f>BS!J34/BS!J$29</f>
        <v>0</v>
      </c>
      <c r="K31" s="9">
        <f>BS!K34/BS!K$29</f>
        <v>0</v>
      </c>
    </row>
    <row r="32" spans="1:11">
      <c r="A32" s="3" t="s">
        <v>64</v>
      </c>
      <c r="B32" s="9">
        <f>BS!B35/BS!B$29</f>
        <v>0.19350632711048138</v>
      </c>
      <c r="C32" s="9">
        <f>BS!C35/BS!C$29</f>
        <v>0.19131475987461771</v>
      </c>
      <c r="D32" s="9">
        <f>BS!D35/BS!D$29</f>
        <v>0.20798135086312222</v>
      </c>
      <c r="E32" s="9">
        <f>BS!E35/BS!E$29</f>
        <v>0.18615800804486998</v>
      </c>
      <c r="F32" s="9">
        <f>BS!F35/BS!F$29</f>
        <v>0.19412852901724698</v>
      </c>
      <c r="G32" s="9">
        <f>BS!G35/BS!G$29</f>
        <v>0.20417903421943853</v>
      </c>
      <c r="H32" s="9">
        <f>BS!H35/BS!H$29</f>
        <v>0.22801278149726112</v>
      </c>
      <c r="I32" s="9">
        <f>BS!I35/BS!I$29</f>
        <v>0.24296430981051378</v>
      </c>
      <c r="J32" s="9">
        <f>BS!J35/BS!J$29</f>
        <v>0.24846993154523178</v>
      </c>
      <c r="K32" s="9">
        <f>BS!K35/BS!K$29</f>
        <v>0.29780443808771573</v>
      </c>
    </row>
    <row r="33" spans="1:11">
      <c r="A33" s="3" t="s">
        <v>65</v>
      </c>
      <c r="B33" s="9">
        <f>BS!B36/BS!B$29</f>
        <v>0.10044994460480997</v>
      </c>
      <c r="C33" s="9">
        <f>BS!C36/BS!C$29</f>
        <v>0.11533034876715045</v>
      </c>
      <c r="D33" s="9">
        <f>BS!D36/BS!D$29</f>
        <v>9.6371363680656019E-2</v>
      </c>
      <c r="E33" s="9">
        <f>BS!E36/BS!E$29</f>
        <v>0.15892867259645346</v>
      </c>
      <c r="F33" s="9">
        <f>BS!F36/BS!F$29</f>
        <v>0.1950058167994253</v>
      </c>
      <c r="G33" s="9">
        <f>BS!G36/BS!G$29</f>
        <v>0.18099559344639565</v>
      </c>
      <c r="H33" s="9">
        <f>BS!H36/BS!H$29</f>
        <v>0.16797271251775209</v>
      </c>
      <c r="I33" s="9">
        <f>BS!I36/BS!I$29</f>
        <v>0.18659873980811234</v>
      </c>
      <c r="J33" s="9">
        <f>BS!J36/BS!J$29</f>
        <v>0.16473645463635464</v>
      </c>
      <c r="K33" s="9">
        <f>BS!K36/BS!K$29</f>
        <v>0.14349603475327946</v>
      </c>
    </row>
    <row r="34" spans="1:11">
      <c r="A34" s="3" t="s">
        <v>66</v>
      </c>
      <c r="B34" s="9">
        <f>BS!B37/BS!B$29</f>
        <v>4.2243542880399144E-2</v>
      </c>
      <c r="C34" s="9">
        <f>BS!C37/BS!C$29</f>
        <v>5.8786293367094011E-2</v>
      </c>
      <c r="D34" s="9">
        <f>BS!D37/BS!D$29</f>
        <v>4.9433704866915021E-2</v>
      </c>
      <c r="E34" s="9">
        <f>BS!E37/BS!E$29</f>
        <v>5.2709478216531644E-2</v>
      </c>
      <c r="F34" s="9">
        <f>BS!F37/BS!F$29</f>
        <v>4.8784829278526155E-2</v>
      </c>
      <c r="G34" s="9">
        <f>BS!G37/BS!G$29</f>
        <v>4.9753520666344128E-2</v>
      </c>
      <c r="H34" s="9">
        <f>BS!H37/BS!H$29</f>
        <v>4.9674122540068977E-2</v>
      </c>
      <c r="I34" s="9">
        <f>BS!I37/BS!I$29</f>
        <v>4.5684814802108703E-2</v>
      </c>
      <c r="J34" s="9">
        <f>BS!J37/BS!J$29</f>
        <v>3.3826324868969006E-2</v>
      </c>
      <c r="K34" s="9">
        <f>BS!K37/BS!K$29</f>
        <v>2.3652723372007387E-2</v>
      </c>
    </row>
    <row r="35" spans="1:11">
      <c r="A35" s="3" t="s">
        <v>67</v>
      </c>
      <c r="B35" s="9">
        <f>BS!B38/BS!B$29</f>
        <v>3.0064137832276929E-2</v>
      </c>
      <c r="C35" s="9">
        <f>BS!C38/BS!C$29</f>
        <v>2.4054484857267064E-2</v>
      </c>
      <c r="D35" s="9">
        <f>BS!D38/BS!D$29</f>
        <v>1.9203813778474039E-2</v>
      </c>
      <c r="E35" s="9">
        <f>BS!E38/BS!E$29</f>
        <v>2.0607897569542802E-2</v>
      </c>
      <c r="F35" s="9">
        <f>BS!F38/BS!F$29</f>
        <v>5.3196696820785365E-2</v>
      </c>
      <c r="G35" s="9">
        <f>BS!G38/BS!G$29</f>
        <v>4.9073577676948622E-2</v>
      </c>
      <c r="H35" s="9">
        <f>BS!H38/BS!H$29</f>
        <v>3.7773889227023738E-2</v>
      </c>
      <c r="I35" s="9">
        <f>BS!I38/BS!I$29</f>
        <v>4.1247841549738699E-2</v>
      </c>
      <c r="J35" s="9">
        <f>BS!J38/BS!J$29</f>
        <v>4.1133294509334242E-2</v>
      </c>
      <c r="K35" s="9">
        <f>BS!K38/BS!K$29</f>
        <v>3.401680026470557E-2</v>
      </c>
    </row>
    <row r="36" spans="1:11">
      <c r="A36" s="3" t="s">
        <v>68</v>
      </c>
      <c r="B36" s="9">
        <f>BS!B39/BS!B$29</f>
        <v>0</v>
      </c>
      <c r="C36" s="9">
        <f>BS!C39/BS!C$29</f>
        <v>0</v>
      </c>
      <c r="D36" s="9">
        <f>BS!D39/BS!D$29</f>
        <v>0</v>
      </c>
      <c r="E36" s="9">
        <f>BS!E39/BS!E$29</f>
        <v>0</v>
      </c>
      <c r="F36" s="9">
        <f>BS!F39/BS!F$29</f>
        <v>0</v>
      </c>
      <c r="G36" s="9">
        <f>BS!G39/BS!G$29</f>
        <v>0</v>
      </c>
      <c r="H36" s="9">
        <f>BS!H39/BS!H$29</f>
        <v>0</v>
      </c>
      <c r="I36" s="9">
        <f>BS!I39/BS!I$29</f>
        <v>0</v>
      </c>
      <c r="J36" s="9">
        <f>BS!J39/BS!J$29</f>
        <v>0</v>
      </c>
      <c r="K36" s="9">
        <f>BS!K39/BS!K$29</f>
        <v>0</v>
      </c>
    </row>
    <row r="37" spans="1:11">
      <c r="A37" s="3" t="s">
        <v>69</v>
      </c>
      <c r="B37" s="9">
        <f>BS!B40/BS!B$29</f>
        <v>7.5616318593941953E-2</v>
      </c>
      <c r="C37" s="9">
        <f>BS!C40/BS!C$29</f>
        <v>7.8539342124329808E-2</v>
      </c>
      <c r="D37" s="9">
        <f>BS!D40/BS!D$29</f>
        <v>9.3695422416442423E-2</v>
      </c>
      <c r="E37" s="9">
        <f>BS!E40/BS!E$29</f>
        <v>8.2913149396634758E-2</v>
      </c>
      <c r="F37" s="9">
        <f>BS!F40/BS!F$29</f>
        <v>0.12643751231699332</v>
      </c>
      <c r="G37" s="9">
        <f>BS!G40/BS!G$29</f>
        <v>0.12534487492971744</v>
      </c>
      <c r="H37" s="9">
        <f>BS!H40/BS!H$29</f>
        <v>0.1395186650436194</v>
      </c>
      <c r="I37" s="9">
        <f>BS!I40/BS!I$29</f>
        <v>0.12169657049412787</v>
      </c>
      <c r="J37" s="9">
        <f>BS!J40/BS!J$29</f>
        <v>0.10515443527563208</v>
      </c>
      <c r="K37" s="9">
        <f>BS!K40/BS!K$29</f>
        <v>9.1141969708290194E-2</v>
      </c>
    </row>
    <row r="38" spans="1:11" s="22" customFormat="1">
      <c r="A38" s="21" t="s">
        <v>70</v>
      </c>
      <c r="B38" s="31">
        <f>BS!B41/BS!B$29</f>
        <v>0.44188027102190935</v>
      </c>
      <c r="C38" s="31">
        <f>BS!C41/BS!C$29</f>
        <v>0.46802522899045906</v>
      </c>
      <c r="D38" s="31">
        <f>BS!D41/BS!D$29</f>
        <v>0.46668565560560971</v>
      </c>
      <c r="E38" s="31">
        <f>BS!E41/BS!E$29</f>
        <v>0.50131720582403261</v>
      </c>
      <c r="F38" s="31">
        <f>BS!F41/BS!F$29</f>
        <v>0.61755338423297712</v>
      </c>
      <c r="G38" s="31">
        <f>BS!G41/BS!G$29</f>
        <v>0.60934660093884441</v>
      </c>
      <c r="H38" s="31">
        <f>BS!H41/BS!H$29</f>
        <v>0.62295217082572529</v>
      </c>
      <c r="I38" s="31">
        <f>BS!I41/BS!I$29</f>
        <v>0.63819227646460142</v>
      </c>
      <c r="J38" s="31">
        <f>BS!J41/BS!J$29</f>
        <v>0.59332044083552171</v>
      </c>
      <c r="K38" s="31">
        <f>BS!K41/BS!K$29</f>
        <v>0.59011196618599837</v>
      </c>
    </row>
    <row r="39" spans="1:11">
      <c r="A39" s="3" t="s">
        <v>71</v>
      </c>
      <c r="B39" s="9">
        <f>BS!B42/BS!B$29</f>
        <v>2.3514692914691406E-2</v>
      </c>
      <c r="C39" s="9">
        <f>BS!C42/BS!C$29</f>
        <v>2.3795178425704895E-2</v>
      </c>
      <c r="D39" s="9">
        <f>BS!D42/BS!D$29</f>
        <v>2.3386377435144028E-2</v>
      </c>
      <c r="E39" s="9">
        <f>BS!E42/BS!E$29</f>
        <v>2.2095065435386096E-2</v>
      </c>
      <c r="F39" s="9">
        <f>BS!F42/BS!F$29</f>
        <v>1.9834332466640816E-2</v>
      </c>
      <c r="G39" s="9">
        <f>BS!G42/BS!G$29</f>
        <v>2.0398289681865137E-2</v>
      </c>
      <c r="H39" s="9">
        <f>BS!H42/BS!H$29</f>
        <v>1.978088861838101E-2</v>
      </c>
      <c r="I39" s="9">
        <f>BS!I42/BS!I$29</f>
        <v>1.7839376994064977E-2</v>
      </c>
      <c r="J39" s="9">
        <f>BS!J42/BS!J$29</f>
        <v>1.7141161863112441E-2</v>
      </c>
      <c r="K39" s="9">
        <f>BS!K42/BS!K$29</f>
        <v>1.6650834142748882E-2</v>
      </c>
    </row>
    <row r="40" spans="1:11">
      <c r="A40" s="3" t="s">
        <v>72</v>
      </c>
      <c r="B40" s="9">
        <f>BS!B43/BS!B$29</f>
        <v>0.67448731186361477</v>
      </c>
      <c r="C40" s="9">
        <f>BS!C43/BS!C$29</f>
        <v>0.74165452756656169</v>
      </c>
      <c r="D40" s="9">
        <f>BS!D43/BS!D$29</f>
        <v>0.77863894281580981</v>
      </c>
      <c r="E40" s="9">
        <f>BS!E43/BS!E$29</f>
        <v>0.78289473684210531</v>
      </c>
      <c r="F40" s="9">
        <f>BS!F43/BS!F$29</f>
        <v>0.64711416819768219</v>
      </c>
      <c r="G40" s="9">
        <f>BS!G43/BS!G$29</f>
        <v>0.69443100540031644</v>
      </c>
      <c r="H40" s="9">
        <f>BS!H43/BS!H$29</f>
        <v>0.7015812030837898</v>
      </c>
      <c r="I40" s="9">
        <f>BS!I43/BS!I$29</f>
        <v>0.6511944377737372</v>
      </c>
      <c r="J40" s="9">
        <f>BS!J43/BS!J$29</f>
        <v>0.67608698040853099</v>
      </c>
      <c r="K40" s="9">
        <f>BS!K43/BS!K$29</f>
        <v>0.68495234232407221</v>
      </c>
    </row>
    <row r="41" spans="1:11">
      <c r="A41" s="3" t="s">
        <v>73</v>
      </c>
      <c r="B41" s="9">
        <f>BS!B44/BS!B$29</f>
        <v>-2.1555135171800455E-2</v>
      </c>
      <c r="C41" s="9">
        <f>BS!C44/BS!C$29</f>
        <v>-8.1773045859105081E-2</v>
      </c>
      <c r="D41" s="9">
        <f>BS!D44/BS!D$29</f>
        <v>-9.8680018888997162E-2</v>
      </c>
      <c r="E41" s="9">
        <f>BS!E44/BS!E$29</f>
        <v>-0.10552518270919495</v>
      </c>
      <c r="F41" s="9">
        <f>BS!F44/BS!F$29</f>
        <v>-8.3908126354869259E-2</v>
      </c>
      <c r="G41" s="9">
        <f>BS!G44/BS!G$29</f>
        <v>-9.9520117159407409E-2</v>
      </c>
      <c r="H41" s="9">
        <f>BS!H44/BS!H$29</f>
        <v>-0.10074939135727327</v>
      </c>
      <c r="I41" s="9">
        <f>BS!I44/BS!I$29</f>
        <v>-8.7149930815236656E-2</v>
      </c>
      <c r="J41" s="9">
        <f>BS!J44/BS!J$29</f>
        <v>-7.1740157566834051E-2</v>
      </c>
      <c r="K41" s="9">
        <f>BS!K44/BS!K$29</f>
        <v>-6.9202361002892551E-2</v>
      </c>
    </row>
    <row r="42" spans="1:11">
      <c r="A42" s="3" t="s">
        <v>74</v>
      </c>
      <c r="B42" s="9">
        <f>BS!B45/BS!B$29</f>
        <v>0.1183271406284151</v>
      </c>
      <c r="C42" s="9">
        <f>BS!C45/BS!C$29</f>
        <v>0.15170188912362054</v>
      </c>
      <c r="D42" s="9">
        <f>BS!D45/BS!D$29</f>
        <v>0.1700309569675664</v>
      </c>
      <c r="E42" s="9">
        <f>BS!E45/BS!E$29</f>
        <v>0.20078182539232906</v>
      </c>
      <c r="F42" s="9">
        <f>BS!F45/BS!F$29</f>
        <v>0.20059375854243086</v>
      </c>
      <c r="G42" s="9">
        <f>BS!G45/BS!G$29</f>
        <v>0.22465577886161853</v>
      </c>
      <c r="H42" s="9">
        <f>BS!H45/BS!H$29</f>
        <v>0.24356487117062284</v>
      </c>
      <c r="I42" s="9">
        <f>BS!I45/BS!I$29</f>
        <v>0.22007616041716696</v>
      </c>
      <c r="J42" s="9">
        <f>BS!J45/BS!J$29</f>
        <v>0.21480842554033117</v>
      </c>
      <c r="K42" s="9">
        <f>BS!K45/BS!K$29</f>
        <v>0.22251278164992688</v>
      </c>
    </row>
    <row r="43" spans="1:11">
      <c r="A43" s="3" t="s">
        <v>75</v>
      </c>
      <c r="B43" s="9">
        <f>BS!B46/BS!B$29</f>
        <v>-1.5224256310152769E-3</v>
      </c>
      <c r="C43" s="9">
        <f>BS!C46/BS!C$29</f>
        <v>-3.6630846788032245E-2</v>
      </c>
      <c r="D43" s="9">
        <f>BS!D46/BS!D$29</f>
        <v>-6.3225671046615348E-2</v>
      </c>
      <c r="E43" s="9">
        <f>BS!E46/BS!E$29</f>
        <v>-6.4068608010877576E-2</v>
      </c>
      <c r="F43" s="9">
        <f>BS!F46/BS!F$29</f>
        <v>-4.673146729560148E-2</v>
      </c>
      <c r="G43" s="9">
        <f>BS!G46/BS!G$29</f>
        <v>-5.7984753586045476E-2</v>
      </c>
      <c r="H43" s="9">
        <f>BS!H46/BS!H$29</f>
        <v>-5.5189947250963683E-2</v>
      </c>
      <c r="I43" s="9">
        <f>BS!I46/BS!I$29</f>
        <v>-5.110524088876691E-2</v>
      </c>
      <c r="J43" s="9">
        <f>BS!J46/BS!J$29</f>
        <v>-5.5033018712435031E-2</v>
      </c>
      <c r="K43" s="9">
        <f>BS!K46/BS!K$29</f>
        <v>-6.3043687092401463E-2</v>
      </c>
    </row>
    <row r="44" spans="1:11">
      <c r="A44" s="3" t="s">
        <v>76</v>
      </c>
      <c r="B44" s="9">
        <f>BS!B47/BS!B$29</f>
        <v>1.5224256310152769E-3</v>
      </c>
      <c r="C44" s="9">
        <f>BS!C47/BS!C$29</f>
        <v>3.6630846788032245E-2</v>
      </c>
      <c r="D44" s="9">
        <f>BS!D47/BS!D$29</f>
        <v>6.3225671046615348E-2</v>
      </c>
      <c r="E44" s="9">
        <f>BS!E47/BS!E$29</f>
        <v>6.4068608010877576E-2</v>
      </c>
      <c r="F44" s="9">
        <f>BS!F47/BS!F$29</f>
        <v>4.673146729560148E-2</v>
      </c>
      <c r="G44" s="9">
        <f>BS!G47/BS!G$29</f>
        <v>5.7984753586045476E-2</v>
      </c>
      <c r="H44" s="9">
        <f>BS!H47/BS!H$29</f>
        <v>5.5189947250963683E-2</v>
      </c>
      <c r="I44" s="9">
        <f>BS!I47/BS!I$29</f>
        <v>5.110524088876691E-2</v>
      </c>
      <c r="J44" s="9">
        <f>BS!J47/BS!J$29</f>
        <v>5.5033018712435031E-2</v>
      </c>
      <c r="K44" s="9">
        <f>BS!K47/BS!K$29</f>
        <v>6.3043687092401463E-2</v>
      </c>
    </row>
    <row r="45" spans="1:11" s="22" customFormat="1">
      <c r="A45" s="21" t="s">
        <v>77</v>
      </c>
      <c r="B45" s="31">
        <f>BS!B48/BS!B$29</f>
        <v>0.55811972897809059</v>
      </c>
      <c r="C45" s="31">
        <f>BS!C48/BS!C$29</f>
        <v>0.53197477100954094</v>
      </c>
      <c r="D45" s="31">
        <f>BS!D48/BS!D$29</f>
        <v>0.53331434439439029</v>
      </c>
      <c r="E45" s="31">
        <f>BS!E48/BS!E$29</f>
        <v>0.49868279417596739</v>
      </c>
      <c r="F45" s="31">
        <f>BS!F48/BS!F$29</f>
        <v>0.38244661576702288</v>
      </c>
      <c r="G45" s="31">
        <f>BS!G48/BS!G$29</f>
        <v>0.39065339906115565</v>
      </c>
      <c r="H45" s="31">
        <f>BS!H48/BS!H$29</f>
        <v>0.37704782917427471</v>
      </c>
      <c r="I45" s="31">
        <f>BS!I48/BS!I$29</f>
        <v>0.36180772353539858</v>
      </c>
      <c r="J45" s="31">
        <f>BS!J48/BS!J$29</f>
        <v>0.40667955916447823</v>
      </c>
      <c r="K45" s="31">
        <f>BS!K48/BS!K$29</f>
        <v>0.40988803381400163</v>
      </c>
    </row>
    <row r="46" spans="1:11">
      <c r="A46" s="3" t="s">
        <v>78</v>
      </c>
      <c r="B46" s="9">
        <f>BS!B49/BS!B$29</f>
        <v>1</v>
      </c>
      <c r="C46" s="9">
        <f>BS!C49/BS!C$29</f>
        <v>1</v>
      </c>
      <c r="D46" s="9">
        <f>BS!D49/BS!D$29</f>
        <v>1</v>
      </c>
      <c r="E46" s="9">
        <f>BS!E49/BS!E$29</f>
        <v>1</v>
      </c>
      <c r="F46" s="9">
        <f>BS!F49/BS!F$29</f>
        <v>1</v>
      </c>
      <c r="G46" s="9">
        <f>BS!G49/BS!G$29</f>
        <v>1</v>
      </c>
      <c r="H46" s="9">
        <f>BS!H49/BS!H$29</f>
        <v>1</v>
      </c>
      <c r="I46" s="9">
        <f>BS!I49/BS!I$29</f>
        <v>1</v>
      </c>
      <c r="J46" s="9">
        <f>BS!J49/BS!J$29</f>
        <v>1</v>
      </c>
      <c r="K46" s="9">
        <f>BS!K49/BS!K$29</f>
        <v>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0F2-D598-4B0D-87AE-338DE83B37C4}">
  <dimension ref="A4:K37"/>
  <sheetViews>
    <sheetView workbookViewId="0">
      <selection activeCell="E22" sqref="E22"/>
    </sheetView>
  </sheetViews>
  <sheetFormatPr baseColWidth="10" defaultColWidth="8.83203125" defaultRowHeight="13"/>
  <cols>
    <col min="1" max="1" width="29" customWidth="1"/>
    <col min="2" max="2" width="11.5" customWidth="1"/>
    <col min="3" max="4" width="12.1640625" customWidth="1"/>
    <col min="5" max="5" width="13.83203125" customWidth="1"/>
    <col min="6" max="6" width="12.5" customWidth="1"/>
    <col min="7" max="7" width="12.1640625" customWidth="1"/>
    <col min="8" max="8" width="12.5" customWidth="1"/>
    <col min="9" max="9" width="13.5" customWidth="1"/>
    <col min="10" max="10" width="12.5" customWidth="1"/>
  </cols>
  <sheetData>
    <row r="4" spans="1:11">
      <c r="A4" t="s">
        <v>107</v>
      </c>
    </row>
    <row r="5" spans="1:11">
      <c r="A5" t="s">
        <v>108</v>
      </c>
    </row>
    <row r="7" spans="1:11">
      <c r="A7" t="s">
        <v>109</v>
      </c>
    </row>
    <row r="10" spans="1:11">
      <c r="A10" s="8" t="s">
        <v>79</v>
      </c>
      <c r="B10" s="22">
        <v>2013</v>
      </c>
      <c r="C10" s="22">
        <v>2014</v>
      </c>
      <c r="D10" s="22">
        <f>C10+1</f>
        <v>2015</v>
      </c>
      <c r="E10" s="22">
        <f t="shared" ref="E10:K10" si="0">D10+1</f>
        <v>2016</v>
      </c>
      <c r="F10" s="22">
        <f t="shared" si="0"/>
        <v>2017</v>
      </c>
      <c r="G10" s="22">
        <f t="shared" si="0"/>
        <v>2018</v>
      </c>
      <c r="H10" s="22">
        <f t="shared" si="0"/>
        <v>2019</v>
      </c>
      <c r="I10" s="22">
        <f t="shared" si="0"/>
        <v>2020</v>
      </c>
      <c r="J10" s="22">
        <f t="shared" si="0"/>
        <v>2021</v>
      </c>
      <c r="K10" s="22">
        <f t="shared" si="0"/>
        <v>2022</v>
      </c>
    </row>
    <row r="11" spans="1:11">
      <c r="A11" t="s">
        <v>0</v>
      </c>
      <c r="B11" s="43" t="s">
        <v>10</v>
      </c>
      <c r="C11" s="43" t="s">
        <v>9</v>
      </c>
      <c r="D11" s="43" t="s">
        <v>8</v>
      </c>
      <c r="E11" s="43" t="s">
        <v>7</v>
      </c>
      <c r="F11" s="43" t="s">
        <v>6</v>
      </c>
      <c r="G11" s="43" t="s">
        <v>5</v>
      </c>
      <c r="H11" s="43" t="s">
        <v>4</v>
      </c>
      <c r="I11" s="43" t="s">
        <v>3</v>
      </c>
      <c r="J11" s="43" t="s">
        <v>2</v>
      </c>
      <c r="K11" s="43" t="s">
        <v>1</v>
      </c>
    </row>
    <row r="12" spans="1:11">
      <c r="A12" t="s">
        <v>11</v>
      </c>
      <c r="B12" s="43" t="s">
        <v>12</v>
      </c>
      <c r="C12" s="43" t="s">
        <v>12</v>
      </c>
      <c r="D12" s="43" t="s">
        <v>12</v>
      </c>
      <c r="E12" s="43" t="s">
        <v>12</v>
      </c>
      <c r="F12" s="43" t="s">
        <v>12</v>
      </c>
      <c r="G12" s="43" t="s">
        <v>12</v>
      </c>
      <c r="H12" s="43" t="s">
        <v>12</v>
      </c>
      <c r="I12" s="43" t="s">
        <v>12</v>
      </c>
      <c r="J12" s="43" t="s">
        <v>12</v>
      </c>
      <c r="K12" s="43" t="s">
        <v>12</v>
      </c>
    </row>
    <row r="13" spans="1:11">
      <c r="A13" t="s">
        <v>116</v>
      </c>
      <c r="B13" s="43" t="s">
        <v>117</v>
      </c>
      <c r="C13" s="43" t="s">
        <v>117</v>
      </c>
      <c r="D13" s="43" t="s">
        <v>117</v>
      </c>
      <c r="E13" s="43" t="s">
        <v>117</v>
      </c>
      <c r="F13" s="43" t="s">
        <v>117</v>
      </c>
      <c r="G13" s="43" t="s">
        <v>117</v>
      </c>
      <c r="H13" s="43" t="s">
        <v>117</v>
      </c>
      <c r="I13" s="43" t="s">
        <v>117</v>
      </c>
      <c r="J13" s="43" t="s">
        <v>117</v>
      </c>
      <c r="K13" s="43" t="s">
        <v>117</v>
      </c>
    </row>
    <row r="14" spans="1:11">
      <c r="A14" t="s">
        <v>118</v>
      </c>
      <c r="B14" s="43" t="s">
        <v>119</v>
      </c>
      <c r="C14" s="43" t="s">
        <v>119</v>
      </c>
      <c r="D14" s="43" t="s">
        <v>119</v>
      </c>
      <c r="E14" s="43" t="s">
        <v>119</v>
      </c>
      <c r="F14" s="43" t="s">
        <v>119</v>
      </c>
      <c r="G14" s="43" t="s">
        <v>119</v>
      </c>
      <c r="H14" s="43" t="s">
        <v>119</v>
      </c>
      <c r="I14" s="43" t="s">
        <v>119</v>
      </c>
      <c r="J14" s="43" t="s">
        <v>119</v>
      </c>
      <c r="K14" s="43" t="s">
        <v>119</v>
      </c>
    </row>
    <row r="15" spans="1:11">
      <c r="A15" t="s">
        <v>13</v>
      </c>
      <c r="B15" s="43" t="s">
        <v>14</v>
      </c>
      <c r="C15" s="43" t="s">
        <v>14</v>
      </c>
      <c r="D15" s="43" t="s">
        <v>14</v>
      </c>
      <c r="E15" s="43" t="s">
        <v>14</v>
      </c>
      <c r="F15" s="43" t="s">
        <v>14</v>
      </c>
      <c r="G15" s="43" t="s">
        <v>14</v>
      </c>
      <c r="H15" s="43" t="s">
        <v>14</v>
      </c>
      <c r="I15" s="43" t="s">
        <v>14</v>
      </c>
      <c r="J15" s="43" t="s">
        <v>14</v>
      </c>
      <c r="K15" s="43" t="s">
        <v>14</v>
      </c>
    </row>
    <row r="16" spans="1:11">
      <c r="A16" t="s">
        <v>33</v>
      </c>
      <c r="B16">
        <v>13831</v>
      </c>
      <c r="C16">
        <v>16323</v>
      </c>
      <c r="D16">
        <v>15409</v>
      </c>
      <c r="E16">
        <v>16540</v>
      </c>
      <c r="F16">
        <v>1300</v>
      </c>
      <c r="G16">
        <v>15297</v>
      </c>
      <c r="H16">
        <v>15119</v>
      </c>
      <c r="I16">
        <v>14714</v>
      </c>
      <c r="J16">
        <v>20878</v>
      </c>
      <c r="K16">
        <v>17941</v>
      </c>
    </row>
    <row r="17" spans="1:11">
      <c r="A17" t="s">
        <v>120</v>
      </c>
      <c r="B17">
        <v>4411</v>
      </c>
      <c r="C17">
        <v>3214</v>
      </c>
      <c r="D17">
        <v>2531</v>
      </c>
      <c r="E17">
        <v>4000</v>
      </c>
      <c r="F17">
        <v>8515</v>
      </c>
      <c r="G17">
        <v>6901</v>
      </c>
      <c r="H17">
        <v>4432</v>
      </c>
      <c r="I17">
        <v>6132</v>
      </c>
      <c r="J17">
        <v>6770</v>
      </c>
      <c r="K17">
        <v>7264</v>
      </c>
    </row>
    <row r="18" spans="1:11">
      <c r="A18" t="s">
        <v>121</v>
      </c>
      <c r="B18">
        <v>-828</v>
      </c>
      <c r="C18">
        <v>-1066</v>
      </c>
      <c r="D18">
        <v>1339</v>
      </c>
      <c r="E18">
        <v>-1773</v>
      </c>
      <c r="F18">
        <v>11241</v>
      </c>
      <c r="G18">
        <v>3</v>
      </c>
      <c r="H18">
        <v>3865</v>
      </c>
      <c r="I18">
        <v>2690</v>
      </c>
      <c r="J18">
        <v>-4238</v>
      </c>
      <c r="K18">
        <v>-4011</v>
      </c>
    </row>
    <row r="19" spans="1:11">
      <c r="A19" t="s">
        <v>122</v>
      </c>
      <c r="B19">
        <v>17414</v>
      </c>
      <c r="C19">
        <v>18471</v>
      </c>
      <c r="D19">
        <v>19279</v>
      </c>
      <c r="E19">
        <v>18767</v>
      </c>
      <c r="F19">
        <v>21056</v>
      </c>
      <c r="G19">
        <v>22201</v>
      </c>
      <c r="H19">
        <v>23416</v>
      </c>
      <c r="I19">
        <v>23536</v>
      </c>
      <c r="J19">
        <v>23410</v>
      </c>
      <c r="K19">
        <v>21194</v>
      </c>
    </row>
    <row r="20" spans="1:11">
      <c r="A20" t="s">
        <v>123</v>
      </c>
      <c r="B20">
        <v>-3595</v>
      </c>
      <c r="C20">
        <v>-3714</v>
      </c>
      <c r="D20">
        <v>-3463</v>
      </c>
      <c r="E20">
        <v>-3226</v>
      </c>
      <c r="F20">
        <v>-3279</v>
      </c>
      <c r="G20">
        <v>-3670</v>
      </c>
      <c r="H20">
        <v>-3498</v>
      </c>
      <c r="I20">
        <v>-3347</v>
      </c>
      <c r="J20">
        <v>-3652</v>
      </c>
      <c r="K20">
        <v>-4009</v>
      </c>
    </row>
    <row r="21" spans="1:11">
      <c r="A21" t="s">
        <v>124</v>
      </c>
      <c r="B21">
        <v>-18923</v>
      </c>
      <c r="C21">
        <v>-34913</v>
      </c>
      <c r="D21">
        <v>-40828</v>
      </c>
      <c r="E21">
        <v>-33950</v>
      </c>
      <c r="F21">
        <v>-6153</v>
      </c>
      <c r="G21">
        <v>-5626</v>
      </c>
      <c r="H21">
        <v>-3920</v>
      </c>
      <c r="I21">
        <v>-21089</v>
      </c>
      <c r="J21">
        <v>-30394</v>
      </c>
      <c r="K21">
        <v>-32384</v>
      </c>
    </row>
    <row r="22" spans="1:11">
      <c r="A22" t="s">
        <v>125</v>
      </c>
      <c r="B22">
        <v>18058</v>
      </c>
      <c r="C22">
        <v>24119</v>
      </c>
      <c r="D22">
        <v>34149</v>
      </c>
      <c r="E22">
        <v>35780</v>
      </c>
      <c r="F22">
        <v>28117</v>
      </c>
      <c r="G22">
        <v>4289</v>
      </c>
      <c r="H22">
        <v>3387</v>
      </c>
      <c r="I22">
        <v>12137</v>
      </c>
      <c r="J22">
        <v>25006</v>
      </c>
      <c r="K22">
        <v>41609</v>
      </c>
    </row>
    <row r="23" spans="1:11">
      <c r="A23" t="s">
        <v>126</v>
      </c>
      <c r="B23">
        <v>-835</v>
      </c>
      <c r="C23">
        <v>-2129</v>
      </c>
      <c r="D23">
        <v>-954</v>
      </c>
      <c r="E23">
        <v>-4509</v>
      </c>
      <c r="F23">
        <v>-35151</v>
      </c>
      <c r="G23">
        <v>-899</v>
      </c>
      <c r="H23">
        <v>-5810</v>
      </c>
      <c r="I23">
        <v>-7323</v>
      </c>
      <c r="J23">
        <v>-60</v>
      </c>
      <c r="K23">
        <v>-17652</v>
      </c>
    </row>
    <row r="24" spans="1:11">
      <c r="A24" t="s">
        <v>127</v>
      </c>
      <c r="B24">
        <v>192</v>
      </c>
      <c r="C24">
        <v>4332</v>
      </c>
      <c r="D24">
        <v>3361</v>
      </c>
      <c r="E24">
        <v>1144</v>
      </c>
      <c r="F24">
        <v>1598</v>
      </c>
      <c r="G24">
        <v>2739</v>
      </c>
      <c r="H24">
        <v>3647</v>
      </c>
      <c r="I24">
        <v>-1203</v>
      </c>
      <c r="J24">
        <v>417</v>
      </c>
      <c r="K24">
        <v>65</v>
      </c>
    </row>
    <row r="25" spans="1:11">
      <c r="A25" t="s">
        <v>128</v>
      </c>
      <c r="B25">
        <v>-5103</v>
      </c>
      <c r="C25">
        <v>-12305</v>
      </c>
      <c r="D25">
        <v>-7735</v>
      </c>
      <c r="E25">
        <v>-4761</v>
      </c>
      <c r="F25">
        <v>-14868</v>
      </c>
      <c r="G25">
        <v>-3167</v>
      </c>
      <c r="H25">
        <v>-6194</v>
      </c>
      <c r="I25">
        <v>-20825</v>
      </c>
      <c r="J25">
        <v>-8683</v>
      </c>
      <c r="K25">
        <v>-12371</v>
      </c>
    </row>
    <row r="26" spans="1:11">
      <c r="A26" t="s">
        <v>129</v>
      </c>
      <c r="B26">
        <v>14</v>
      </c>
      <c r="C26">
        <v>596</v>
      </c>
      <c r="D26">
        <v>1372</v>
      </c>
      <c r="E26">
        <v>-1906</v>
      </c>
      <c r="F26">
        <v>-461</v>
      </c>
      <c r="G26">
        <v>-2399</v>
      </c>
      <c r="H26">
        <v>-61</v>
      </c>
      <c r="I26">
        <v>728</v>
      </c>
      <c r="J26">
        <v>807</v>
      </c>
      <c r="K26">
        <v>9584</v>
      </c>
    </row>
    <row r="27" spans="1:11">
      <c r="A27" t="s">
        <v>130</v>
      </c>
      <c r="B27">
        <v>2014</v>
      </c>
      <c r="C27">
        <v>254</v>
      </c>
      <c r="D27">
        <v>7</v>
      </c>
      <c r="E27">
        <v>9781</v>
      </c>
      <c r="F27">
        <v>7215</v>
      </c>
      <c r="G27">
        <v>-1550</v>
      </c>
      <c r="H27">
        <v>-2820</v>
      </c>
      <c r="I27">
        <v>6367</v>
      </c>
      <c r="J27">
        <v>-1797</v>
      </c>
      <c r="K27">
        <v>-2132</v>
      </c>
    </row>
    <row r="28" spans="1:11">
      <c r="A28" t="s">
        <v>131</v>
      </c>
      <c r="B28">
        <v>-3538</v>
      </c>
      <c r="C28">
        <v>-7124</v>
      </c>
      <c r="D28">
        <v>-5290</v>
      </c>
      <c r="E28">
        <v>-8979</v>
      </c>
      <c r="F28">
        <v>-6358</v>
      </c>
      <c r="G28">
        <v>-5868</v>
      </c>
      <c r="H28">
        <v>-6746</v>
      </c>
      <c r="I28">
        <v>-3221</v>
      </c>
      <c r="J28">
        <v>-3456</v>
      </c>
      <c r="K28">
        <v>-6035</v>
      </c>
    </row>
    <row r="29" spans="1:11">
      <c r="A29" t="s">
        <v>132</v>
      </c>
      <c r="B29">
        <v>-7286</v>
      </c>
      <c r="C29">
        <v>-7768</v>
      </c>
      <c r="D29">
        <v>-8173</v>
      </c>
      <c r="E29">
        <v>-8621</v>
      </c>
      <c r="F29">
        <v>-8943</v>
      </c>
      <c r="G29">
        <v>-9494</v>
      </c>
      <c r="H29">
        <v>-9917</v>
      </c>
      <c r="I29">
        <v>-10481</v>
      </c>
      <c r="J29">
        <v>-11032</v>
      </c>
      <c r="K29">
        <v>-11682</v>
      </c>
    </row>
    <row r="30" spans="1:11">
      <c r="A30" t="s">
        <v>133</v>
      </c>
      <c r="B30">
        <v>2705</v>
      </c>
      <c r="C30">
        <v>1782</v>
      </c>
      <c r="D30">
        <v>1238</v>
      </c>
      <c r="E30">
        <v>1174</v>
      </c>
      <c r="F30">
        <v>874</v>
      </c>
      <c r="G30">
        <v>801</v>
      </c>
      <c r="H30">
        <v>1529</v>
      </c>
      <c r="I30">
        <v>487</v>
      </c>
      <c r="J30">
        <v>1431</v>
      </c>
      <c r="K30">
        <v>1394</v>
      </c>
    </row>
    <row r="31" spans="1:11">
      <c r="A31" t="s">
        <v>134</v>
      </c>
      <c r="B31">
        <v>-6091</v>
      </c>
      <c r="C31">
        <v>-12260</v>
      </c>
      <c r="D31">
        <v>-10846</v>
      </c>
      <c r="E31">
        <v>-8551</v>
      </c>
      <c r="F31">
        <v>-7673</v>
      </c>
      <c r="G31">
        <v>-18510</v>
      </c>
      <c r="H31">
        <v>-18015</v>
      </c>
      <c r="I31">
        <v>-6120</v>
      </c>
      <c r="J31">
        <v>-14047</v>
      </c>
      <c r="K31">
        <v>-8871</v>
      </c>
    </row>
    <row r="32" spans="1:11">
      <c r="A32" t="s">
        <v>135</v>
      </c>
      <c r="B32">
        <v>-204</v>
      </c>
      <c r="C32">
        <v>-310</v>
      </c>
      <c r="D32">
        <v>-1489</v>
      </c>
      <c r="E32">
        <v>-215</v>
      </c>
      <c r="F32">
        <v>337</v>
      </c>
      <c r="G32">
        <v>-241</v>
      </c>
      <c r="H32">
        <v>-9</v>
      </c>
      <c r="I32">
        <v>89</v>
      </c>
      <c r="J32">
        <v>-178</v>
      </c>
      <c r="K32">
        <v>-312</v>
      </c>
    </row>
    <row r="33" spans="1:11">
      <c r="A33" t="s">
        <v>136</v>
      </c>
      <c r="B33">
        <v>6016</v>
      </c>
      <c r="C33">
        <v>-6404</v>
      </c>
      <c r="D33">
        <v>-791</v>
      </c>
      <c r="E33">
        <v>5240</v>
      </c>
      <c r="F33">
        <v>-1148</v>
      </c>
      <c r="G33">
        <v>283</v>
      </c>
      <c r="H33">
        <v>-802</v>
      </c>
      <c r="I33">
        <v>-3320</v>
      </c>
      <c r="J33">
        <v>502</v>
      </c>
      <c r="K33">
        <v>-360</v>
      </c>
    </row>
    <row r="34" spans="1:11">
      <c r="A34" t="s">
        <v>137</v>
      </c>
      <c r="B34">
        <v>14911</v>
      </c>
      <c r="C34">
        <v>20927</v>
      </c>
      <c r="D34">
        <v>14523</v>
      </c>
      <c r="E34">
        <v>13732</v>
      </c>
      <c r="F34">
        <v>18972</v>
      </c>
      <c r="G34">
        <v>17824</v>
      </c>
      <c r="H34">
        <v>18107</v>
      </c>
      <c r="I34">
        <v>17305</v>
      </c>
      <c r="J34">
        <v>13985</v>
      </c>
      <c r="K34">
        <v>14487</v>
      </c>
    </row>
    <row r="35" spans="1:11">
      <c r="A35" t="s">
        <v>138</v>
      </c>
      <c r="B35">
        <v>20927</v>
      </c>
      <c r="C35">
        <v>14523</v>
      </c>
      <c r="D35">
        <v>13732</v>
      </c>
      <c r="E35">
        <v>18972</v>
      </c>
      <c r="F35">
        <v>17824</v>
      </c>
      <c r="G35">
        <v>18107</v>
      </c>
      <c r="H35">
        <v>17305</v>
      </c>
      <c r="I35">
        <v>13985</v>
      </c>
      <c r="J35">
        <v>14487</v>
      </c>
      <c r="K35">
        <v>14127</v>
      </c>
    </row>
    <row r="36" spans="1:11">
      <c r="A36" t="s">
        <v>139</v>
      </c>
      <c r="B36">
        <v>4104</v>
      </c>
      <c r="C36">
        <v>3895</v>
      </c>
      <c r="D36">
        <v>3746</v>
      </c>
      <c r="E36">
        <v>3754</v>
      </c>
      <c r="F36">
        <v>5642</v>
      </c>
      <c r="G36">
        <v>6929</v>
      </c>
      <c r="H36">
        <v>7009</v>
      </c>
      <c r="I36">
        <v>7231</v>
      </c>
      <c r="J36">
        <v>7390</v>
      </c>
      <c r="K36">
        <v>6970</v>
      </c>
    </row>
    <row r="37" spans="1:11">
      <c r="A37" t="s">
        <v>140</v>
      </c>
      <c r="B37">
        <v>-3595</v>
      </c>
      <c r="C37">
        <v>-3714</v>
      </c>
      <c r="D37">
        <v>-3463</v>
      </c>
      <c r="E37">
        <v>-3226</v>
      </c>
      <c r="F37">
        <v>-3279</v>
      </c>
      <c r="G37">
        <v>-3670</v>
      </c>
      <c r="H37">
        <v>-3498</v>
      </c>
      <c r="I37">
        <v>-3347</v>
      </c>
      <c r="J37">
        <v>-3652</v>
      </c>
      <c r="K37">
        <v>-4009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568-D5E6-4601-87CF-A77DE9C2E9DC}">
  <dimension ref="A4:M36"/>
  <sheetViews>
    <sheetView zoomScaleNormal="100" workbookViewId="0">
      <selection activeCell="C28" sqref="C28"/>
    </sheetView>
  </sheetViews>
  <sheetFormatPr baseColWidth="10" defaultColWidth="8.83203125" defaultRowHeight="13"/>
  <cols>
    <col min="1" max="1" width="29.1640625" customWidth="1"/>
    <col min="2" max="2" width="28.6640625" customWidth="1"/>
  </cols>
  <sheetData>
    <row r="4" spans="1:13">
      <c r="A4" s="27" t="s">
        <v>107</v>
      </c>
    </row>
    <row r="5" spans="1:13" ht="20">
      <c r="A5" s="28" t="s">
        <v>108</v>
      </c>
    </row>
    <row r="7" spans="1:1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16">
      <c r="A8" s="34"/>
      <c r="B8" s="35" t="s">
        <v>85</v>
      </c>
      <c r="C8" s="35">
        <v>2013</v>
      </c>
      <c r="D8" s="35">
        <v>2014</v>
      </c>
      <c r="E8" s="35">
        <f>D8+1</f>
        <v>2015</v>
      </c>
      <c r="F8" s="35">
        <f t="shared" ref="F8:L8" si="0">E8+1</f>
        <v>2016</v>
      </c>
      <c r="G8" s="35">
        <f t="shared" si="0"/>
        <v>2017</v>
      </c>
      <c r="H8" s="35">
        <f t="shared" si="0"/>
        <v>2018</v>
      </c>
      <c r="I8" s="35">
        <f t="shared" si="0"/>
        <v>2019</v>
      </c>
      <c r="J8" s="35">
        <f t="shared" si="0"/>
        <v>2020</v>
      </c>
      <c r="K8" s="35">
        <f t="shared" si="0"/>
        <v>2021</v>
      </c>
      <c r="L8" s="35">
        <f t="shared" si="0"/>
        <v>2022</v>
      </c>
      <c r="M8" s="34"/>
    </row>
    <row r="9" spans="1:13" ht="16">
      <c r="A9" s="34"/>
      <c r="B9" s="36" t="str">
        <f>BS!A53</f>
        <v>Current ratio</v>
      </c>
      <c r="C9" s="37">
        <f>BS!B53</f>
        <v>2.1969620253164557</v>
      </c>
      <c r="D9" s="37">
        <f>BS!C53</f>
        <v>2.3644010364759818</v>
      </c>
      <c r="E9" s="37">
        <f>BS!D53</f>
        <v>2.1699643204670775</v>
      </c>
      <c r="F9" s="37">
        <f>BS!E53</f>
        <v>2.4739224711834749</v>
      </c>
      <c r="G9" s="37">
        <f>BS!F53</f>
        <v>1.4110095949176409</v>
      </c>
      <c r="H9" s="37">
        <f>BS!G53</f>
        <v>1.4739993595901377</v>
      </c>
      <c r="I9" s="37">
        <f>BS!H53</f>
        <v>1.2588699810922033</v>
      </c>
      <c r="J9" s="37">
        <f>BS!I53</f>
        <v>1.205775068834867</v>
      </c>
      <c r="K9" s="37">
        <f>BS!J53</f>
        <v>1.3483173395834254</v>
      </c>
      <c r="L9" s="37">
        <f>BS!K53</f>
        <v>0.99089638364216337</v>
      </c>
      <c r="M9" s="34"/>
    </row>
    <row r="10" spans="1:13" ht="16">
      <c r="A10" s="34"/>
      <c r="B10" s="36" t="str">
        <f>BS!A54</f>
        <v>Quick ratio</v>
      </c>
      <c r="C10" s="37">
        <f>BS!B54</f>
        <v>1.890126582278481</v>
      </c>
      <c r="D10" s="37">
        <f>BS!C54</f>
        <v>2.0381502890173411</v>
      </c>
      <c r="E10" s="37">
        <f>BS!D54</f>
        <v>1.8797347460986773</v>
      </c>
      <c r="F10" s="37">
        <f>BS!E54</f>
        <v>2.1641115380225968</v>
      </c>
      <c r="G10" s="37">
        <f>BS!F54</f>
        <v>1.1239807446703998</v>
      </c>
      <c r="H10" s="37">
        <f>BS!G54</f>
        <v>1.1986551392891451</v>
      </c>
      <c r="I10" s="37">
        <f>BS!H54</f>
        <v>1.0080636191747303</v>
      </c>
      <c r="J10" s="37">
        <f>BS!I54</f>
        <v>0.9858800272986139</v>
      </c>
      <c r="K10" s="37">
        <f>BS!J54</f>
        <v>1.1186485649847433</v>
      </c>
      <c r="L10" s="37">
        <f>BS!K54</f>
        <v>0.7671947242034336</v>
      </c>
      <c r="M10" s="34"/>
    </row>
    <row r="11" spans="1:13" ht="16">
      <c r="A11" s="34"/>
      <c r="B11" s="38" t="str">
        <f>BS!A55</f>
        <v>Cash ratio</v>
      </c>
      <c r="C11" s="39">
        <f>BS!B55</f>
        <v>0.81507302823758521</v>
      </c>
      <c r="D11" s="39">
        <f>BS!C55</f>
        <v>0.57895156468008768</v>
      </c>
      <c r="E11" s="39">
        <f>BS!D55</f>
        <v>0.4949003495873428</v>
      </c>
      <c r="F11" s="39">
        <f>BS!E55</f>
        <v>0.72172556777114161</v>
      </c>
      <c r="G11" s="39">
        <f>BS!F55</f>
        <v>0.58368536529456072</v>
      </c>
      <c r="H11" s="39">
        <f>BS!G55</f>
        <v>0.57979506884406018</v>
      </c>
      <c r="I11" s="39">
        <f>BS!H55</f>
        <v>0.48117562006450898</v>
      </c>
      <c r="J11" s="39">
        <f>BS!I55</f>
        <v>0.3291130303814746</v>
      </c>
      <c r="K11" s="39">
        <f>BS!J55</f>
        <v>0.32032459204882147</v>
      </c>
      <c r="L11" s="39">
        <f>BS!K55</f>
        <v>0.25316296906920899</v>
      </c>
      <c r="M11" s="34"/>
    </row>
    <row r="12" spans="1:13" ht="16">
      <c r="A12" s="3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4"/>
    </row>
    <row r="13" spans="1:13" ht="16">
      <c r="A13" s="34"/>
      <c r="B13" s="35" t="s">
        <v>85</v>
      </c>
      <c r="C13" s="35">
        <v>2013</v>
      </c>
      <c r="D13" s="35">
        <v>2014</v>
      </c>
      <c r="E13" s="35">
        <f>D13+1</f>
        <v>2015</v>
      </c>
      <c r="F13" s="35">
        <f t="shared" ref="F13:L13" si="1">E13+1</f>
        <v>2016</v>
      </c>
      <c r="G13" s="35">
        <f t="shared" si="1"/>
        <v>2017</v>
      </c>
      <c r="H13" s="35">
        <f t="shared" si="1"/>
        <v>2018</v>
      </c>
      <c r="I13" s="35">
        <f t="shared" si="1"/>
        <v>2019</v>
      </c>
      <c r="J13" s="35">
        <f t="shared" si="1"/>
        <v>2020</v>
      </c>
      <c r="K13" s="35">
        <f t="shared" si="1"/>
        <v>2021</v>
      </c>
      <c r="L13" s="35">
        <f t="shared" si="1"/>
        <v>2022</v>
      </c>
      <c r="M13" s="34"/>
    </row>
    <row r="14" spans="1:13" ht="16">
      <c r="A14" s="34"/>
      <c r="B14" s="36" t="s">
        <v>86</v>
      </c>
      <c r="C14" s="37">
        <v>0.44188027102190935</v>
      </c>
      <c r="D14" s="37">
        <v>0.46802522899045906</v>
      </c>
      <c r="E14" s="37">
        <v>0.46668565560560971</v>
      </c>
      <c r="F14" s="37">
        <v>0.50131720582403261</v>
      </c>
      <c r="G14" s="37">
        <v>0.61755338423297712</v>
      </c>
      <c r="H14" s="37">
        <v>0.60934660093884441</v>
      </c>
      <c r="I14" s="37">
        <v>0.62295217082572529</v>
      </c>
      <c r="J14" s="37">
        <v>0.63819227646460142</v>
      </c>
      <c r="K14" s="37">
        <v>0.59332044083552171</v>
      </c>
      <c r="L14" s="37">
        <v>0.59011196618599837</v>
      </c>
      <c r="M14" s="34"/>
    </row>
    <row r="15" spans="1:13" ht="16">
      <c r="A15" s="34"/>
      <c r="B15" s="36" t="s">
        <v>88</v>
      </c>
      <c r="C15" s="37">
        <v>0.79173024725534413</v>
      </c>
      <c r="D15" s="37">
        <v>0.87978839316435375</v>
      </c>
      <c r="E15" s="37">
        <v>0.87506676036542519</v>
      </c>
      <c r="F15" s="37">
        <v>1.0052827402084694</v>
      </c>
      <c r="G15" s="37">
        <v>1.6147440159574469</v>
      </c>
      <c r="H15" s="37">
        <v>1.5598138974427633</v>
      </c>
      <c r="I15" s="37">
        <v>1.6521834171276757</v>
      </c>
      <c r="J15" s="37">
        <v>1.7638989854293752</v>
      </c>
      <c r="K15" s="37">
        <v>1.4589384380530375</v>
      </c>
      <c r="L15" s="37">
        <v>1.4396906411124422</v>
      </c>
      <c r="M15" s="34"/>
    </row>
    <row r="16" spans="1:13" ht="16">
      <c r="A16" s="34"/>
      <c r="B16" s="36" t="s">
        <v>90</v>
      </c>
      <c r="C16" s="37">
        <v>1.7917302472553442</v>
      </c>
      <c r="D16" s="37">
        <v>1.8797883931643538</v>
      </c>
      <c r="E16" s="37">
        <v>1.8750667603654252</v>
      </c>
      <c r="F16" s="37">
        <v>2.0052827402084694</v>
      </c>
      <c r="G16" s="37">
        <v>2.6147440159574469</v>
      </c>
      <c r="H16" s="37">
        <v>2.5598138974427633</v>
      </c>
      <c r="I16" s="37">
        <v>2.6521834171276755</v>
      </c>
      <c r="J16" s="37">
        <v>2.7638989854293752</v>
      </c>
      <c r="K16" s="37">
        <v>2.4589384380530377</v>
      </c>
      <c r="L16" s="37">
        <v>2.4396906411124419</v>
      </c>
      <c r="M16" s="34"/>
    </row>
    <row r="17" spans="1:13" ht="16">
      <c r="A17" s="34"/>
      <c r="B17" s="38" t="s">
        <v>92</v>
      </c>
      <c r="C17" s="39">
        <v>0.10044994460480997</v>
      </c>
      <c r="D17" s="39">
        <v>0.11533034876715045</v>
      </c>
      <c r="E17" s="39">
        <v>9.6371363680656019E-2</v>
      </c>
      <c r="F17" s="39">
        <v>0.15892867259645346</v>
      </c>
      <c r="G17" s="39">
        <v>0.1950058167994253</v>
      </c>
      <c r="H17" s="39">
        <v>0.18099559344639565</v>
      </c>
      <c r="I17" s="39">
        <v>0.16797271251775209</v>
      </c>
      <c r="J17" s="39">
        <v>0.18659873980811234</v>
      </c>
      <c r="K17" s="39">
        <v>0.16473645463635464</v>
      </c>
      <c r="L17" s="39">
        <v>0.14349603475327946</v>
      </c>
      <c r="M17" s="34"/>
    </row>
    <row r="18" spans="1:13" ht="16">
      <c r="A18" s="3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4"/>
    </row>
    <row r="19" spans="1:13" ht="16">
      <c r="A19" s="3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4"/>
    </row>
    <row r="20" spans="1:13" ht="16">
      <c r="A20" s="34"/>
      <c r="B20" s="35" t="s">
        <v>85</v>
      </c>
      <c r="C20" s="35">
        <v>2013</v>
      </c>
      <c r="D20" s="35">
        <v>2014</v>
      </c>
      <c r="E20" s="35">
        <f>D20+1</f>
        <v>2015</v>
      </c>
      <c r="F20" s="35">
        <f t="shared" ref="F20:L20" si="2">E20+1</f>
        <v>2016</v>
      </c>
      <c r="G20" s="35">
        <f t="shared" si="2"/>
        <v>2017</v>
      </c>
      <c r="H20" s="35">
        <f t="shared" si="2"/>
        <v>2018</v>
      </c>
      <c r="I20" s="35">
        <f t="shared" si="2"/>
        <v>2019</v>
      </c>
      <c r="J20" s="35">
        <f t="shared" si="2"/>
        <v>2020</v>
      </c>
      <c r="K20" s="35">
        <f t="shared" si="2"/>
        <v>2021</v>
      </c>
      <c r="L20" s="35">
        <f t="shared" si="2"/>
        <v>2022</v>
      </c>
      <c r="M20" s="34"/>
    </row>
    <row r="21" spans="1:13" ht="16">
      <c r="A21" s="34"/>
      <c r="B21" s="36" t="s">
        <v>98</v>
      </c>
      <c r="C21" s="40">
        <v>0.19395052726048911</v>
      </c>
      <c r="D21" s="40">
        <v>0.21959882148767002</v>
      </c>
      <c r="E21" s="40">
        <v>0.21989610982675456</v>
      </c>
      <c r="F21" s="40">
        <v>0.23007372374460983</v>
      </c>
      <c r="G21" s="40">
        <v>1.7004578155657292E-2</v>
      </c>
      <c r="H21" s="40">
        <v>0.18750689498780354</v>
      </c>
      <c r="I21" s="40">
        <v>0.18424548190935791</v>
      </c>
      <c r="J21" s="40">
        <v>0.17817010558946042</v>
      </c>
      <c r="K21" s="40">
        <v>0.22263929618768327</v>
      </c>
      <c r="L21" s="40">
        <v>0.18896601118565876</v>
      </c>
      <c r="M21" s="34"/>
    </row>
    <row r="22" spans="1:13" ht="16">
      <c r="A22" s="34"/>
      <c r="B22" s="36" t="s">
        <v>99</v>
      </c>
      <c r="C22" s="40">
        <v>0.10424093516124899</v>
      </c>
      <c r="D22" s="40">
        <v>0.12448996712909648</v>
      </c>
      <c r="E22" s="40">
        <v>0.1155002211211969</v>
      </c>
      <c r="F22" s="40">
        <v>0.11713217381451475</v>
      </c>
      <c r="G22" s="40">
        <v>8.2643051944336719E-3</v>
      </c>
      <c r="H22" s="40">
        <v>0.10001046066137531</v>
      </c>
      <c r="I22" s="40">
        <v>9.5854889429904652E-2</v>
      </c>
      <c r="J22" s="40">
        <v>8.4130959323933358E-2</v>
      </c>
      <c r="K22" s="40">
        <v>0.1147029414673274</v>
      </c>
      <c r="L22" s="40">
        <v>9.574763312662106E-2</v>
      </c>
      <c r="M22" s="34"/>
    </row>
    <row r="23" spans="1:13" ht="16">
      <c r="A23" s="34"/>
      <c r="B23" s="38" t="s">
        <v>100</v>
      </c>
      <c r="C23" s="41">
        <v>0.18677163653059295</v>
      </c>
      <c r="D23" s="41">
        <v>0.23401479527468746</v>
      </c>
      <c r="E23" s="41">
        <v>0.21657062543921293</v>
      </c>
      <c r="F23" s="41">
        <v>0.23488312647334489</v>
      </c>
      <c r="G23" s="41">
        <v>2.1609042553191491E-2</v>
      </c>
      <c r="H23" s="41">
        <v>0.25600816709064134</v>
      </c>
      <c r="I23" s="41">
        <v>0.25422474819660001</v>
      </c>
      <c r="J23" s="41">
        <v>0.23252947311861943</v>
      </c>
      <c r="K23" s="41">
        <v>0.28204747173175904</v>
      </c>
      <c r="L23" s="41">
        <v>0.23359460444768501</v>
      </c>
      <c r="M23" s="34"/>
    </row>
    <row r="24" spans="1:13" ht="16">
      <c r="A24" s="3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4"/>
    </row>
    <row r="25" spans="1:13" ht="16">
      <c r="A25" s="3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4"/>
    </row>
    <row r="26" spans="1:13" ht="16">
      <c r="A26" s="3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4"/>
    </row>
    <row r="27" spans="1:13" ht="16">
      <c r="A27" s="34"/>
      <c r="B27" s="35" t="s">
        <v>85</v>
      </c>
      <c r="C27" s="35">
        <v>2013</v>
      </c>
      <c r="D27" s="35">
        <v>2014</v>
      </c>
      <c r="E27" s="35">
        <f>D27+1</f>
        <v>2015</v>
      </c>
      <c r="F27" s="35">
        <f t="shared" ref="F27:L27" si="3">E27+1</f>
        <v>2016</v>
      </c>
      <c r="G27" s="35">
        <f t="shared" si="3"/>
        <v>2017</v>
      </c>
      <c r="H27" s="35">
        <f t="shared" si="3"/>
        <v>2018</v>
      </c>
      <c r="I27" s="35">
        <f t="shared" si="3"/>
        <v>2019</v>
      </c>
      <c r="J27" s="35">
        <f t="shared" si="3"/>
        <v>2020</v>
      </c>
      <c r="K27" s="35">
        <f t="shared" si="3"/>
        <v>2021</v>
      </c>
      <c r="L27" s="35">
        <f t="shared" si="3"/>
        <v>2022</v>
      </c>
      <c r="M27" s="34"/>
    </row>
    <row r="28" spans="1:13" ht="16">
      <c r="A28" s="34"/>
      <c r="B28" s="36" t="s">
        <v>94</v>
      </c>
      <c r="C28" s="37">
        <v>2.8359989845138358</v>
      </c>
      <c r="D28" s="37">
        <v>2.7793255131964809</v>
      </c>
      <c r="E28" s="37">
        <v>2.6742828759468522</v>
      </c>
      <c r="F28" s="37">
        <v>2.6626964636542239</v>
      </c>
      <c r="G28" s="37">
        <v>2.8926411865373645</v>
      </c>
      <c r="H28" s="37">
        <v>3.1504826142574718</v>
      </c>
      <c r="I28" s="37">
        <v>3.0549889135254991</v>
      </c>
      <c r="J28" s="37">
        <v>3.0422731164383561</v>
      </c>
      <c r="K28" s="37">
        <v>2.874265909309714</v>
      </c>
      <c r="L28" s="37">
        <v>2.490507089641913</v>
      </c>
      <c r="M28" s="34"/>
    </row>
    <row r="29" spans="1:13" ht="16">
      <c r="A29" s="34"/>
      <c r="B29" s="36" t="s">
        <v>95</v>
      </c>
      <c r="C29" s="37">
        <v>128.70244382776835</v>
      </c>
      <c r="D29" s="37">
        <v>131.32682669480349</v>
      </c>
      <c r="E29" s="37">
        <v>136.48518759286776</v>
      </c>
      <c r="F29" s="37">
        <v>137.07908692644685</v>
      </c>
      <c r="G29" s="37">
        <v>126.18225920959217</v>
      </c>
      <c r="H29" s="37">
        <v>115.85526558635709</v>
      </c>
      <c r="I29" s="37">
        <v>119.47670198867759</v>
      </c>
      <c r="J29" s="37">
        <v>119.97607907974813</v>
      </c>
      <c r="K29" s="37">
        <v>126.98894657511305</v>
      </c>
      <c r="L29" s="37">
        <v>146.55649908327703</v>
      </c>
      <c r="M29" s="34"/>
    </row>
    <row r="30" spans="1:13" ht="16">
      <c r="A30" s="34"/>
      <c r="B30" s="36" t="s">
        <v>96</v>
      </c>
      <c r="C30" s="37">
        <v>6.0882779817297017</v>
      </c>
      <c r="D30" s="37">
        <v>6.7665908056440598</v>
      </c>
      <c r="E30" s="37">
        <v>6.5282280603689209</v>
      </c>
      <c r="F30" s="37">
        <v>6.1449696555261131</v>
      </c>
      <c r="G30" s="37">
        <v>5.6671608598962191</v>
      </c>
      <c r="H30" s="37">
        <v>5.7867073343736699</v>
      </c>
      <c r="I30" s="37">
        <v>5.666666666666667</v>
      </c>
      <c r="J30" s="37">
        <v>6.0830878020035355</v>
      </c>
      <c r="K30" s="37">
        <v>6.1359026369168355</v>
      </c>
      <c r="L30" s="37">
        <v>5.8751856435643566</v>
      </c>
      <c r="M30" s="34"/>
    </row>
    <row r="31" spans="1:13" ht="16">
      <c r="A31" s="34"/>
      <c r="B31" s="36" t="s">
        <v>97</v>
      </c>
      <c r="C31" s="37">
        <v>59.951270473412613</v>
      </c>
      <c r="D31" s="37">
        <v>53.94149143695094</v>
      </c>
      <c r="E31" s="37">
        <v>55.911036903844511</v>
      </c>
      <c r="F31" s="37">
        <v>59.398177771595499</v>
      </c>
      <c r="G31" s="37">
        <v>64.406147809025512</v>
      </c>
      <c r="H31" s="37">
        <v>63.075593581838909</v>
      </c>
      <c r="I31" s="37">
        <v>64.411764705882348</v>
      </c>
      <c r="J31" s="37">
        <v>60.002421776615328</v>
      </c>
      <c r="K31" s="37">
        <v>59.485950413223144</v>
      </c>
      <c r="L31" s="37">
        <v>62.125696470513887</v>
      </c>
      <c r="M31" s="34"/>
    </row>
    <row r="32" spans="1:13" ht="16">
      <c r="A32" s="34"/>
      <c r="B32" s="38" t="s">
        <v>101</v>
      </c>
      <c r="C32" s="39">
        <v>4.2676241771394379</v>
      </c>
      <c r="D32" s="39">
        <v>4.6093885650502298</v>
      </c>
      <c r="E32" s="39">
        <v>4.4057843445457401</v>
      </c>
      <c r="F32" s="39">
        <v>4.5179738562091503</v>
      </c>
      <c r="G32" s="39">
        <v>4.4957365480740963</v>
      </c>
      <c r="H32" s="39">
        <v>4.7890226005283241</v>
      </c>
      <c r="I32" s="39">
        <v>4.6471287801563035</v>
      </c>
      <c r="J32" s="39">
        <v>4.4007247149099431</v>
      </c>
      <c r="K32" s="39">
        <v>4.9454171500896527</v>
      </c>
      <c r="L32" s="39">
        <v>4.7943745897086298</v>
      </c>
      <c r="M32" s="34"/>
    </row>
    <row r="33" spans="1:1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pans="1:1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17A0-F8AD-4105-BE29-D4E1091FFBFE}">
  <dimension ref="A1:I213"/>
  <sheetViews>
    <sheetView topLeftCell="A195" workbookViewId="0">
      <selection activeCell="A196" sqref="A196:I213"/>
    </sheetView>
  </sheetViews>
  <sheetFormatPr baseColWidth="10" defaultColWidth="8.83203125" defaultRowHeight="13"/>
  <sheetData>
    <row r="1" spans="1:9">
      <c r="A1" t="s">
        <v>236</v>
      </c>
    </row>
    <row r="2" spans="1:9" ht="14" thickBot="1"/>
    <row r="3" spans="1:9">
      <c r="A3" s="78" t="s">
        <v>237</v>
      </c>
      <c r="B3" s="78"/>
    </row>
    <row r="4" spans="1:9">
      <c r="A4" t="s">
        <v>238</v>
      </c>
      <c r="B4">
        <v>0.74958882526124559</v>
      </c>
    </row>
    <row r="5" spans="1:9">
      <c r="A5" t="s">
        <v>239</v>
      </c>
      <c r="B5">
        <v>0.56188340695653416</v>
      </c>
    </row>
    <row r="6" spans="1:9">
      <c r="A6" t="s">
        <v>240</v>
      </c>
      <c r="B6">
        <v>0.51807174765218755</v>
      </c>
    </row>
    <row r="7" spans="1:9">
      <c r="A7" t="s">
        <v>241</v>
      </c>
      <c r="B7">
        <v>3.4321335453236124E-2</v>
      </c>
    </row>
    <row r="8" spans="1:9" ht="14" thickBot="1">
      <c r="A8" s="76" t="s">
        <v>242</v>
      </c>
      <c r="B8" s="76">
        <v>12</v>
      </c>
    </row>
    <row r="10" spans="1:9" ht="14" thickBot="1">
      <c r="A10" t="s">
        <v>243</v>
      </c>
    </row>
    <row r="11" spans="1:9">
      <c r="A11" s="77"/>
      <c r="B11" s="77" t="s">
        <v>248</v>
      </c>
      <c r="C11" s="77" t="s">
        <v>249</v>
      </c>
      <c r="D11" s="77" t="s">
        <v>250</v>
      </c>
      <c r="E11" s="77" t="s">
        <v>251</v>
      </c>
      <c r="F11" s="77" t="s">
        <v>252</v>
      </c>
    </row>
    <row r="12" spans="1:9">
      <c r="A12" t="s">
        <v>244</v>
      </c>
      <c r="B12">
        <v>1</v>
      </c>
      <c r="C12">
        <v>1.5107230702479896E-2</v>
      </c>
      <c r="D12">
        <v>1.5107230702479896E-2</v>
      </c>
      <c r="E12">
        <v>12.824974353363272</v>
      </c>
      <c r="F12">
        <v>5.0017363423273545E-3</v>
      </c>
    </row>
    <row r="13" spans="1:9">
      <c r="A13" t="s">
        <v>245</v>
      </c>
      <c r="B13">
        <v>10</v>
      </c>
      <c r="C13">
        <v>1.1779540672935629E-2</v>
      </c>
      <c r="D13">
        <v>1.1779540672935628E-3</v>
      </c>
    </row>
    <row r="14" spans="1:9" ht="14" thickBot="1">
      <c r="A14" s="76" t="s">
        <v>246</v>
      </c>
      <c r="B14" s="76">
        <v>11</v>
      </c>
      <c r="C14" s="76">
        <v>2.6886771375415525E-2</v>
      </c>
      <c r="D14" s="76"/>
      <c r="E14" s="76"/>
      <c r="F14" s="76"/>
    </row>
    <row r="15" spans="1:9" ht="14" thickBot="1"/>
    <row r="16" spans="1:9">
      <c r="A16" s="77"/>
      <c r="B16" s="77" t="s">
        <v>253</v>
      </c>
      <c r="C16" s="77" t="s">
        <v>241</v>
      </c>
      <c r="D16" s="77" t="s">
        <v>254</v>
      </c>
      <c r="E16" s="77" t="s">
        <v>255</v>
      </c>
      <c r="F16" s="77" t="s">
        <v>256</v>
      </c>
      <c r="G16" s="77" t="s">
        <v>257</v>
      </c>
      <c r="H16" s="77" t="s">
        <v>258</v>
      </c>
      <c r="I16" s="77" t="s">
        <v>259</v>
      </c>
    </row>
    <row r="17" spans="1:9">
      <c r="A17" t="s">
        <v>247</v>
      </c>
      <c r="B17">
        <v>-4.1403868527835341E-4</v>
      </c>
      <c r="C17">
        <v>1.1010939473884989E-2</v>
      </c>
      <c r="D17">
        <v>-3.7602484897891114E-2</v>
      </c>
      <c r="E17">
        <v>0.97074469927556795</v>
      </c>
      <c r="F17">
        <v>-2.4947940723910805E-2</v>
      </c>
      <c r="G17">
        <v>2.4119863353354098E-2</v>
      </c>
      <c r="H17">
        <v>-2.4947940723910805E-2</v>
      </c>
      <c r="I17">
        <v>2.4119863353354098E-2</v>
      </c>
    </row>
    <row r="18" spans="1:9" ht="14" thickBot="1">
      <c r="A18" s="76" t="s">
        <v>260</v>
      </c>
      <c r="B18" s="76">
        <v>1.3218121326818795</v>
      </c>
      <c r="C18" s="76">
        <v>0.36909782091706644</v>
      </c>
      <c r="D18" s="76">
        <v>3.5811973351608621</v>
      </c>
      <c r="E18" s="76">
        <v>5.0017363423273675E-3</v>
      </c>
      <c r="F18" s="76">
        <v>0.49941093771309153</v>
      </c>
      <c r="G18" s="76">
        <v>2.1442133276506672</v>
      </c>
      <c r="H18" s="76">
        <v>0.49941093771309153</v>
      </c>
      <c r="I18" s="76">
        <v>2.1442133276506672</v>
      </c>
    </row>
    <row r="21" spans="1:9">
      <c r="A21" t="s">
        <v>236</v>
      </c>
    </row>
    <row r="22" spans="1:9" ht="14" thickBot="1"/>
    <row r="23" spans="1:9">
      <c r="A23" s="78" t="s">
        <v>237</v>
      </c>
      <c r="B23" s="78"/>
    </row>
    <row r="24" spans="1:9">
      <c r="A24" t="s">
        <v>238</v>
      </c>
      <c r="B24">
        <v>0.54763132866635089</v>
      </c>
    </row>
    <row r="25" spans="1:9">
      <c r="A25" t="s">
        <v>239</v>
      </c>
      <c r="B25">
        <v>0.29990007213687286</v>
      </c>
    </row>
    <row r="26" spans="1:9">
      <c r="A26" t="s">
        <v>240</v>
      </c>
      <c r="B26">
        <v>0.22989007935056013</v>
      </c>
    </row>
    <row r="27" spans="1:9">
      <c r="A27" t="s">
        <v>241</v>
      </c>
      <c r="B27">
        <v>3.188870733285222E-2</v>
      </c>
    </row>
    <row r="28" spans="1:9" ht="14" thickBot="1">
      <c r="A28" s="76" t="s">
        <v>242</v>
      </c>
      <c r="B28" s="76">
        <v>12</v>
      </c>
    </row>
    <row r="30" spans="1:9" ht="14" thickBot="1">
      <c r="A30" t="s">
        <v>243</v>
      </c>
    </row>
    <row r="31" spans="1:9">
      <c r="A31" s="77"/>
      <c r="B31" s="77" t="s">
        <v>248</v>
      </c>
      <c r="C31" s="77" t="s">
        <v>249</v>
      </c>
      <c r="D31" s="77" t="s">
        <v>250</v>
      </c>
      <c r="E31" s="77" t="s">
        <v>251</v>
      </c>
      <c r="F31" s="77" t="s">
        <v>252</v>
      </c>
    </row>
    <row r="32" spans="1:9">
      <c r="A32" t="s">
        <v>244</v>
      </c>
      <c r="B32">
        <v>1</v>
      </c>
      <c r="C32">
        <v>4.3560250310069569E-3</v>
      </c>
      <c r="D32">
        <v>4.3560250310069569E-3</v>
      </c>
      <c r="E32">
        <v>4.2836752326519996</v>
      </c>
      <c r="F32">
        <v>6.5316166045476048E-2</v>
      </c>
    </row>
    <row r="33" spans="1:9">
      <c r="A33" t="s">
        <v>245</v>
      </c>
      <c r="B33">
        <v>10</v>
      </c>
      <c r="C33">
        <v>1.016889655360303E-2</v>
      </c>
      <c r="D33">
        <v>1.0168896553603029E-3</v>
      </c>
    </row>
    <row r="34" spans="1:9" ht="14" thickBot="1">
      <c r="A34" s="76" t="s">
        <v>246</v>
      </c>
      <c r="B34" s="76">
        <v>11</v>
      </c>
      <c r="C34" s="76">
        <v>1.4524921584609987E-2</v>
      </c>
      <c r="D34" s="76"/>
      <c r="E34" s="76"/>
      <c r="F34" s="76"/>
    </row>
    <row r="35" spans="1:9" ht="14" thickBot="1"/>
    <row r="36" spans="1:9">
      <c r="A36" s="77"/>
      <c r="B36" s="77" t="s">
        <v>253</v>
      </c>
      <c r="C36" s="77" t="s">
        <v>241</v>
      </c>
      <c r="D36" s="77" t="s">
        <v>254</v>
      </c>
      <c r="E36" s="77" t="s">
        <v>255</v>
      </c>
      <c r="F36" s="77" t="s">
        <v>256</v>
      </c>
      <c r="G36" s="77" t="s">
        <v>257</v>
      </c>
      <c r="H36" s="77" t="s">
        <v>258</v>
      </c>
      <c r="I36" s="77" t="s">
        <v>259</v>
      </c>
    </row>
    <row r="37" spans="1:9">
      <c r="A37" t="s">
        <v>247</v>
      </c>
      <c r="B37">
        <v>4.5211134171361236E-3</v>
      </c>
      <c r="C37">
        <v>9.7540241067916728E-3</v>
      </c>
      <c r="D37">
        <v>0.46351263515825203</v>
      </c>
      <c r="E37">
        <v>0.65292131416822274</v>
      </c>
      <c r="F37">
        <v>-1.721220665841712E-2</v>
      </c>
      <c r="G37">
        <v>2.6254433492689369E-2</v>
      </c>
      <c r="H37">
        <v>-1.721220665841712E-2</v>
      </c>
      <c r="I37">
        <v>2.6254433492689369E-2</v>
      </c>
    </row>
    <row r="38" spans="1:9" ht="14" thickBot="1">
      <c r="A38" s="76" t="s">
        <v>260</v>
      </c>
      <c r="B38" s="76">
        <v>0.88220755967760744</v>
      </c>
      <c r="C38" s="76">
        <v>0.42624814922064796</v>
      </c>
      <c r="D38" s="76">
        <v>2.069704141333248</v>
      </c>
      <c r="E38" s="76">
        <v>6.5316166045476021E-2</v>
      </c>
      <c r="F38" s="76">
        <v>-6.7532502188161314E-2</v>
      </c>
      <c r="G38" s="76">
        <v>1.8319476215433763</v>
      </c>
      <c r="H38" s="76">
        <v>-6.7532502188161314E-2</v>
      </c>
      <c r="I38" s="76">
        <v>1.8319476215433763</v>
      </c>
    </row>
    <row r="40" spans="1:9">
      <c r="A40" t="s">
        <v>236</v>
      </c>
    </row>
    <row r="41" spans="1:9" ht="14" thickBot="1"/>
    <row r="42" spans="1:9">
      <c r="A42" s="78" t="s">
        <v>237</v>
      </c>
      <c r="B42" s="78"/>
    </row>
    <row r="43" spans="1:9">
      <c r="A43" t="s">
        <v>238</v>
      </c>
      <c r="B43">
        <v>0.77070649322055362</v>
      </c>
    </row>
    <row r="44" spans="1:9">
      <c r="A44" t="s">
        <v>239</v>
      </c>
      <c r="B44">
        <v>0.59398849869232329</v>
      </c>
    </row>
    <row r="45" spans="1:9">
      <c r="A45" t="s">
        <v>240</v>
      </c>
      <c r="B45">
        <v>0.55338734856155569</v>
      </c>
    </row>
    <row r="46" spans="1:9">
      <c r="A46" t="s">
        <v>241</v>
      </c>
      <c r="B46">
        <v>2.3038446934724555E-2</v>
      </c>
    </row>
    <row r="47" spans="1:9" ht="14" thickBot="1">
      <c r="A47" s="76" t="s">
        <v>242</v>
      </c>
      <c r="B47" s="76">
        <v>12</v>
      </c>
    </row>
    <row r="49" spans="1:9" ht="14" thickBot="1">
      <c r="A49" t="s">
        <v>243</v>
      </c>
    </row>
    <row r="50" spans="1:9">
      <c r="A50" s="77"/>
      <c r="B50" s="77" t="s">
        <v>248</v>
      </c>
      <c r="C50" s="77" t="s">
        <v>249</v>
      </c>
      <c r="D50" s="77" t="s">
        <v>250</v>
      </c>
      <c r="E50" s="77" t="s">
        <v>251</v>
      </c>
      <c r="F50" s="77" t="s">
        <v>252</v>
      </c>
    </row>
    <row r="51" spans="1:9">
      <c r="A51" t="s">
        <v>244</v>
      </c>
      <c r="B51">
        <v>1</v>
      </c>
      <c r="C51">
        <v>7.7650829227881961E-3</v>
      </c>
      <c r="D51">
        <v>7.7650829227881961E-3</v>
      </c>
      <c r="E51">
        <v>14.629844149222684</v>
      </c>
      <c r="F51">
        <v>3.3466521683261233E-3</v>
      </c>
    </row>
    <row r="52" spans="1:9">
      <c r="A52" t="s">
        <v>245</v>
      </c>
      <c r="B52">
        <v>10</v>
      </c>
      <c r="C52">
        <v>5.307700371641192E-3</v>
      </c>
      <c r="D52">
        <v>5.3077003716411918E-4</v>
      </c>
    </row>
    <row r="53" spans="1:9" ht="14" thickBot="1">
      <c r="A53" s="76" t="s">
        <v>246</v>
      </c>
      <c r="B53" s="76">
        <v>11</v>
      </c>
      <c r="C53" s="76">
        <v>1.3072783294429388E-2</v>
      </c>
      <c r="D53" s="76"/>
      <c r="E53" s="76"/>
      <c r="F53" s="76"/>
    </row>
    <row r="54" spans="1:9" ht="14" thickBot="1"/>
    <row r="55" spans="1:9">
      <c r="A55" s="77"/>
      <c r="B55" s="77" t="s">
        <v>253</v>
      </c>
      <c r="C55" s="77" t="s">
        <v>241</v>
      </c>
      <c r="D55" s="77" t="s">
        <v>254</v>
      </c>
      <c r="E55" s="77" t="s">
        <v>255</v>
      </c>
      <c r="F55" s="77" t="s">
        <v>256</v>
      </c>
      <c r="G55" s="77" t="s">
        <v>257</v>
      </c>
      <c r="H55" s="77" t="s">
        <v>258</v>
      </c>
      <c r="I55" s="77" t="s">
        <v>259</v>
      </c>
    </row>
    <row r="56" spans="1:9">
      <c r="A56" t="s">
        <v>247</v>
      </c>
      <c r="B56">
        <v>6.8629063587335908E-3</v>
      </c>
      <c r="C56">
        <v>6.6739090565686044E-3</v>
      </c>
      <c r="D56">
        <v>1.0283188309224818</v>
      </c>
      <c r="E56">
        <v>0.32803036738707891</v>
      </c>
      <c r="F56">
        <v>-8.0074897048299787E-3</v>
      </c>
      <c r="G56">
        <v>2.1733302422297162E-2</v>
      </c>
      <c r="H56">
        <v>-8.0074897048299787E-3</v>
      </c>
      <c r="I56">
        <v>2.1733302422297162E-2</v>
      </c>
    </row>
    <row r="57" spans="1:9" ht="14" thickBot="1">
      <c r="A57" s="76" t="s">
        <v>260</v>
      </c>
      <c r="B57" s="76">
        <v>0.64386281884210139</v>
      </c>
      <c r="C57" s="76">
        <v>0.16833464086910582</v>
      </c>
      <c r="D57" s="76">
        <v>3.824897926641007</v>
      </c>
      <c r="E57" s="76">
        <v>3.3466521683261324E-3</v>
      </c>
      <c r="F57" s="76">
        <v>0.26878986538649013</v>
      </c>
      <c r="G57" s="76">
        <v>1.0189357722977126</v>
      </c>
      <c r="H57" s="76">
        <v>0.26878986538649013</v>
      </c>
      <c r="I57" s="76">
        <v>1.0189357722977126</v>
      </c>
    </row>
    <row r="59" spans="1:9">
      <c r="A59" t="s">
        <v>236</v>
      </c>
    </row>
    <row r="61" spans="1:9">
      <c r="A61" t="s">
        <v>237</v>
      </c>
    </row>
    <row r="62" spans="1:9">
      <c r="A62" t="s">
        <v>238</v>
      </c>
      <c r="B62">
        <v>0.16829372863068187</v>
      </c>
    </row>
    <row r="63" spans="1:9">
      <c r="A63" t="s">
        <v>239</v>
      </c>
      <c r="B63">
        <v>2.8322779096417592E-2</v>
      </c>
    </row>
    <row r="64" spans="1:9">
      <c r="A64" t="s">
        <v>240</v>
      </c>
      <c r="B64">
        <v>-6.8844942993940644E-2</v>
      </c>
    </row>
    <row r="65" spans="1:9">
      <c r="A65" t="s">
        <v>241</v>
      </c>
      <c r="B65">
        <v>3.9268269810346201E-2</v>
      </c>
    </row>
    <row r="66" spans="1:9">
      <c r="A66" t="s">
        <v>242</v>
      </c>
      <c r="B66">
        <v>12</v>
      </c>
    </row>
    <row r="68" spans="1:9">
      <c r="A68" t="s">
        <v>243</v>
      </c>
    </row>
    <row r="69" spans="1:9">
      <c r="B69" t="s">
        <v>248</v>
      </c>
      <c r="C69" t="s">
        <v>249</v>
      </c>
      <c r="D69" t="s">
        <v>250</v>
      </c>
      <c r="E69" t="s">
        <v>251</v>
      </c>
      <c r="F69" t="s">
        <v>252</v>
      </c>
    </row>
    <row r="70" spans="1:9">
      <c r="A70" t="s">
        <v>244</v>
      </c>
      <c r="B70">
        <v>1</v>
      </c>
      <c r="C70">
        <v>4.4946654971863773E-4</v>
      </c>
      <c r="D70">
        <v>4.4946654971863773E-4</v>
      </c>
      <c r="E70">
        <v>0.29148341123073424</v>
      </c>
      <c r="F70">
        <v>0.60108655166398828</v>
      </c>
    </row>
    <row r="71" spans="1:9">
      <c r="A71" t="s">
        <v>245</v>
      </c>
      <c r="B71">
        <v>10</v>
      </c>
      <c r="C71">
        <v>1.5419970138981467E-2</v>
      </c>
      <c r="D71">
        <v>1.5419970138981468E-3</v>
      </c>
    </row>
    <row r="72" spans="1:9">
      <c r="A72" t="s">
        <v>246</v>
      </c>
      <c r="B72">
        <v>11</v>
      </c>
      <c r="C72">
        <v>1.5869436688700105E-2</v>
      </c>
    </row>
    <row r="74" spans="1:9">
      <c r="B74" t="s">
        <v>253</v>
      </c>
      <c r="C74" t="s">
        <v>241</v>
      </c>
      <c r="D74" t="s">
        <v>254</v>
      </c>
      <c r="E74" t="s">
        <v>255</v>
      </c>
      <c r="F74" t="s">
        <v>256</v>
      </c>
      <c r="G74" t="s">
        <v>257</v>
      </c>
      <c r="H74" t="s">
        <v>258</v>
      </c>
      <c r="I74" t="s">
        <v>259</v>
      </c>
    </row>
    <row r="75" spans="1:9">
      <c r="A75" t="s">
        <v>247</v>
      </c>
      <c r="B75">
        <v>4.8474694256291969E-3</v>
      </c>
      <c r="C75">
        <v>1.2964412508298795E-2</v>
      </c>
      <c r="D75">
        <v>0.37390583048219339</v>
      </c>
      <c r="E75">
        <v>0.71627995979757564</v>
      </c>
      <c r="F75">
        <v>-2.4039041777288175E-2</v>
      </c>
      <c r="G75">
        <v>3.3733980628546573E-2</v>
      </c>
      <c r="H75">
        <v>-2.4039041777288175E-2</v>
      </c>
      <c r="I75">
        <v>3.3733980628546573E-2</v>
      </c>
    </row>
    <row r="76" spans="1:9">
      <c r="A76" t="s">
        <v>260</v>
      </c>
      <c r="B76">
        <v>0.27815394278987615</v>
      </c>
      <c r="C76">
        <v>0.51520289967474453</v>
      </c>
      <c r="D76">
        <v>0.53989203664319241</v>
      </c>
      <c r="E76">
        <v>0.60108655166398828</v>
      </c>
      <c r="F76">
        <v>-0.86978965463140889</v>
      </c>
      <c r="G76">
        <v>1.4260975402111611</v>
      </c>
      <c r="H76">
        <v>-0.86978965463140889</v>
      </c>
      <c r="I76">
        <v>1.4260975402111611</v>
      </c>
    </row>
    <row r="78" spans="1:9">
      <c r="A78" t="s">
        <v>236</v>
      </c>
    </row>
    <row r="80" spans="1:9">
      <c r="A80" t="s">
        <v>237</v>
      </c>
    </row>
    <row r="81" spans="1:9">
      <c r="A81" t="s">
        <v>238</v>
      </c>
      <c r="B81">
        <v>3.059332403243601E-2</v>
      </c>
    </row>
    <row r="82" spans="1:9">
      <c r="A82" t="s">
        <v>239</v>
      </c>
      <c r="B82">
        <v>9.3595147535362666E-4</v>
      </c>
    </row>
    <row r="83" spans="1:9">
      <c r="A83" t="s">
        <v>240</v>
      </c>
      <c r="B83">
        <v>-9.8970453377111009E-2</v>
      </c>
    </row>
    <row r="84" spans="1:9">
      <c r="A84" t="s">
        <v>241</v>
      </c>
      <c r="B84">
        <v>3.3256330265694772E-2</v>
      </c>
    </row>
    <row r="85" spans="1:9">
      <c r="A85" t="s">
        <v>242</v>
      </c>
      <c r="B85">
        <v>12</v>
      </c>
    </row>
    <row r="87" spans="1:9">
      <c r="A87" t="s">
        <v>243</v>
      </c>
    </row>
    <row r="88" spans="1:9">
      <c r="B88" t="s">
        <v>248</v>
      </c>
      <c r="C88" t="s">
        <v>249</v>
      </c>
      <c r="D88" t="s">
        <v>250</v>
      </c>
      <c r="E88" t="s">
        <v>251</v>
      </c>
      <c r="F88" t="s">
        <v>252</v>
      </c>
    </row>
    <row r="89" spans="1:9">
      <c r="A89" t="s">
        <v>244</v>
      </c>
      <c r="B89">
        <v>1</v>
      </c>
      <c r="C89">
        <v>1.0361166460106513E-5</v>
      </c>
      <c r="D89">
        <v>1.0361166460106513E-5</v>
      </c>
      <c r="E89">
        <v>9.3682830118427315E-3</v>
      </c>
      <c r="F89">
        <v>0.92480561740603018</v>
      </c>
    </row>
    <row r="90" spans="1:9">
      <c r="A90" t="s">
        <v>245</v>
      </c>
      <c r="B90">
        <v>10</v>
      </c>
      <c r="C90">
        <v>1.1059835027409664E-2</v>
      </c>
      <c r="D90">
        <v>1.1059835027409663E-3</v>
      </c>
    </row>
    <row r="91" spans="1:9">
      <c r="A91" t="s">
        <v>246</v>
      </c>
      <c r="B91">
        <v>11</v>
      </c>
      <c r="C91">
        <v>1.107019619386977E-2</v>
      </c>
    </row>
    <row r="93" spans="1:9">
      <c r="B93" t="s">
        <v>253</v>
      </c>
      <c r="C93" t="s">
        <v>241</v>
      </c>
      <c r="D93" t="s">
        <v>254</v>
      </c>
      <c r="E93" t="s">
        <v>255</v>
      </c>
      <c r="F93" t="s">
        <v>256</v>
      </c>
      <c r="G93" t="s">
        <v>257</v>
      </c>
      <c r="H93" t="s">
        <v>258</v>
      </c>
      <c r="I93" t="s">
        <v>259</v>
      </c>
    </row>
    <row r="94" spans="1:9">
      <c r="A94" t="s">
        <v>247</v>
      </c>
      <c r="B94">
        <v>1.6469843933801753E-2</v>
      </c>
      <c r="C94">
        <v>1.3820806075033781E-2</v>
      </c>
      <c r="D94">
        <v>1.1916702864063229</v>
      </c>
      <c r="E94">
        <v>0.26090424061165673</v>
      </c>
      <c r="F94">
        <v>-1.4324831047748943E-2</v>
      </c>
      <c r="G94">
        <v>4.7264518915352452E-2</v>
      </c>
      <c r="H94">
        <v>-1.4324831047748943E-2</v>
      </c>
      <c r="I94">
        <v>4.7264518915352452E-2</v>
      </c>
    </row>
    <row r="95" spans="1:9">
      <c r="A95" t="s">
        <v>260</v>
      </c>
      <c r="B95">
        <v>5.9276162113486346E-2</v>
      </c>
      <c r="C95">
        <v>0.61242100247190479</v>
      </c>
      <c r="D95">
        <v>9.6789891062244685E-2</v>
      </c>
      <c r="E95">
        <v>0.9248056174060364</v>
      </c>
      <c r="F95">
        <v>-1.3052828672665469</v>
      </c>
      <c r="G95">
        <v>1.4238351914935194</v>
      </c>
      <c r="H95">
        <v>-1.3052828672665469</v>
      </c>
      <c r="I95">
        <v>1.4238351914935194</v>
      </c>
    </row>
    <row r="98" spans="1:6">
      <c r="A98" t="s">
        <v>236</v>
      </c>
    </row>
    <row r="99" spans="1:6" ht="14" thickBot="1"/>
    <row r="100" spans="1:6">
      <c r="A100" s="78" t="s">
        <v>237</v>
      </c>
      <c r="B100" s="78"/>
    </row>
    <row r="101" spans="1:6">
      <c r="A101" t="s">
        <v>238</v>
      </c>
      <c r="B101">
        <v>0.63683033157312474</v>
      </c>
    </row>
    <row r="102" spans="1:6">
      <c r="A102" t="s">
        <v>239</v>
      </c>
      <c r="B102">
        <v>0.40555287121153594</v>
      </c>
    </row>
    <row r="103" spans="1:6">
      <c r="A103" t="s">
        <v>240</v>
      </c>
      <c r="B103">
        <v>0.34610815833268954</v>
      </c>
    </row>
    <row r="104" spans="1:6">
      <c r="A104" t="s">
        <v>241</v>
      </c>
      <c r="B104">
        <v>4.5016222438228864E-2</v>
      </c>
    </row>
    <row r="105" spans="1:6" ht="14" thickBot="1">
      <c r="A105" s="76" t="s">
        <v>242</v>
      </c>
      <c r="B105" s="76">
        <v>12</v>
      </c>
    </row>
    <row r="107" spans="1:6" ht="14" thickBot="1">
      <c r="A107" t="s">
        <v>243</v>
      </c>
    </row>
    <row r="108" spans="1:6">
      <c r="A108" s="77"/>
      <c r="B108" s="77" t="s">
        <v>248</v>
      </c>
      <c r="C108" s="77" t="s">
        <v>249</v>
      </c>
      <c r="D108" s="77" t="s">
        <v>250</v>
      </c>
      <c r="E108" s="77" t="s">
        <v>251</v>
      </c>
      <c r="F108" s="77" t="s">
        <v>252</v>
      </c>
    </row>
    <row r="109" spans="1:6">
      <c r="A109" t="s">
        <v>244</v>
      </c>
      <c r="B109">
        <v>1</v>
      </c>
      <c r="C109">
        <v>1.3825229296385563E-2</v>
      </c>
      <c r="D109">
        <v>1.3825229296385563E-2</v>
      </c>
      <c r="E109">
        <v>6.8223539415202268</v>
      </c>
      <c r="F109">
        <v>2.5953191576091088E-2</v>
      </c>
    </row>
    <row r="110" spans="1:6">
      <c r="A110" t="s">
        <v>245</v>
      </c>
      <c r="B110">
        <v>10</v>
      </c>
      <c r="C110">
        <v>2.0264602826081002E-2</v>
      </c>
      <c r="D110">
        <v>2.0264602826081E-3</v>
      </c>
    </row>
    <row r="111" spans="1:6" ht="14" thickBot="1">
      <c r="A111" s="76" t="s">
        <v>246</v>
      </c>
      <c r="B111" s="76">
        <v>11</v>
      </c>
      <c r="C111" s="76">
        <v>3.4089832122466565E-2</v>
      </c>
      <c r="D111" s="76"/>
      <c r="E111" s="76"/>
      <c r="F111" s="76"/>
    </row>
    <row r="112" spans="1:6" ht="14" thickBot="1"/>
    <row r="113" spans="1:9">
      <c r="A113" s="77"/>
      <c r="B113" s="77" t="s">
        <v>253</v>
      </c>
      <c r="C113" s="77" t="s">
        <v>241</v>
      </c>
      <c r="D113" s="77" t="s">
        <v>254</v>
      </c>
      <c r="E113" s="77" t="s">
        <v>255</v>
      </c>
      <c r="F113" s="77" t="s">
        <v>256</v>
      </c>
      <c r="G113" s="77" t="s">
        <v>257</v>
      </c>
      <c r="H113" s="77" t="s">
        <v>258</v>
      </c>
      <c r="I113" s="77" t="s">
        <v>259</v>
      </c>
    </row>
    <row r="114" spans="1:9">
      <c r="A114" t="s">
        <v>247</v>
      </c>
      <c r="B114">
        <v>1.859311528976176E-3</v>
      </c>
      <c r="C114">
        <v>1.30723903067316E-2</v>
      </c>
      <c r="D114">
        <v>0.14223194728348398</v>
      </c>
      <c r="E114">
        <v>0.88972161930037541</v>
      </c>
      <c r="F114">
        <v>-2.7267789201781273E-2</v>
      </c>
      <c r="G114">
        <v>3.0986412259733621E-2</v>
      </c>
      <c r="H114">
        <v>-2.7267789201781273E-2</v>
      </c>
      <c r="I114">
        <v>3.0986412259733621E-2</v>
      </c>
    </row>
    <row r="115" spans="1:9" ht="14" thickBot="1">
      <c r="A115" s="76" t="s">
        <v>260</v>
      </c>
      <c r="B115" s="76">
        <v>0.7486832131996044</v>
      </c>
      <c r="C115" s="76">
        <v>0.28663615681821564</v>
      </c>
      <c r="D115" s="76">
        <v>2.6119636179549341</v>
      </c>
      <c r="E115" s="76">
        <v>2.5953191576091088E-2</v>
      </c>
      <c r="F115" s="76">
        <v>0.11001805580890767</v>
      </c>
      <c r="G115" s="76">
        <v>1.3873483705903011</v>
      </c>
      <c r="H115" s="76">
        <v>0.11001805580890767</v>
      </c>
      <c r="I115" s="76">
        <v>1.3873483705903011</v>
      </c>
    </row>
    <row r="118" spans="1:9">
      <c r="A118" t="s">
        <v>236</v>
      </c>
    </row>
    <row r="119" spans="1:9" ht="14" thickBot="1"/>
    <row r="120" spans="1:9">
      <c r="A120" s="78" t="s">
        <v>237</v>
      </c>
      <c r="B120" s="78"/>
    </row>
    <row r="121" spans="1:9">
      <c r="A121" t="s">
        <v>238</v>
      </c>
      <c r="B121">
        <v>0.75771504591159244</v>
      </c>
    </row>
    <row r="122" spans="1:9">
      <c r="A122" t="s">
        <v>239</v>
      </c>
      <c r="B122">
        <v>0.57413209080080663</v>
      </c>
    </row>
    <row r="123" spans="1:9">
      <c r="A123" t="s">
        <v>240</v>
      </c>
      <c r="B123">
        <v>0.53154529988088728</v>
      </c>
    </row>
    <row r="124" spans="1:9">
      <c r="A124" t="s">
        <v>241</v>
      </c>
      <c r="B124">
        <v>3.0328556128488341E-2</v>
      </c>
    </row>
    <row r="125" spans="1:9" ht="14" thickBot="1">
      <c r="A125" s="76" t="s">
        <v>242</v>
      </c>
      <c r="B125" s="76">
        <v>12</v>
      </c>
    </row>
    <row r="127" spans="1:9" ht="14" thickBot="1">
      <c r="A127" t="s">
        <v>243</v>
      </c>
    </row>
    <row r="128" spans="1:9">
      <c r="A128" s="77"/>
      <c r="B128" s="77" t="s">
        <v>248</v>
      </c>
      <c r="C128" s="77" t="s">
        <v>249</v>
      </c>
      <c r="D128" s="77" t="s">
        <v>250</v>
      </c>
      <c r="E128" s="77" t="s">
        <v>251</v>
      </c>
      <c r="F128" s="77" t="s">
        <v>252</v>
      </c>
    </row>
    <row r="129" spans="1:9">
      <c r="A129" t="s">
        <v>244</v>
      </c>
      <c r="B129">
        <v>1</v>
      </c>
      <c r="C129">
        <v>1.24005336958329E-2</v>
      </c>
      <c r="D129">
        <v>1.24005336958329E-2</v>
      </c>
      <c r="E129">
        <v>13.481459353920581</v>
      </c>
      <c r="F129">
        <v>4.3049304569339171E-3</v>
      </c>
    </row>
    <row r="130" spans="1:9">
      <c r="A130" t="s">
        <v>245</v>
      </c>
      <c r="B130">
        <v>10</v>
      </c>
      <c r="C130">
        <v>9.1982131683886782E-3</v>
      </c>
      <c r="D130">
        <v>9.1982131683886778E-4</v>
      </c>
    </row>
    <row r="131" spans="1:9" ht="14" thickBot="1">
      <c r="A131" s="76" t="s">
        <v>246</v>
      </c>
      <c r="B131" s="76">
        <v>11</v>
      </c>
      <c r="C131" s="76">
        <v>2.1598746864221578E-2</v>
      </c>
      <c r="D131" s="76"/>
      <c r="E131" s="76"/>
      <c r="F131" s="76"/>
    </row>
    <row r="132" spans="1:9" ht="14" thickBot="1"/>
    <row r="133" spans="1:9">
      <c r="A133" s="77"/>
      <c r="B133" s="77" t="s">
        <v>253</v>
      </c>
      <c r="C133" s="77" t="s">
        <v>241</v>
      </c>
      <c r="D133" s="77" t="s">
        <v>254</v>
      </c>
      <c r="E133" s="77" t="s">
        <v>255</v>
      </c>
      <c r="F133" s="77" t="s">
        <v>256</v>
      </c>
      <c r="G133" s="77" t="s">
        <v>257</v>
      </c>
      <c r="H133" s="77" t="s">
        <v>258</v>
      </c>
      <c r="I133" s="77" t="s">
        <v>259</v>
      </c>
    </row>
    <row r="134" spans="1:9">
      <c r="A134" t="s">
        <v>247</v>
      </c>
      <c r="B134">
        <v>-2.7804839273534322E-3</v>
      </c>
      <c r="C134">
        <v>9.5114541255404764E-3</v>
      </c>
      <c r="D134">
        <v>-0.2923300570716294</v>
      </c>
      <c r="E134">
        <v>0.77600955036701014</v>
      </c>
      <c r="F134">
        <v>-2.3973324403355305E-2</v>
      </c>
      <c r="G134">
        <v>1.8412356548648437E-2</v>
      </c>
      <c r="H134">
        <v>-2.3973324403355305E-2</v>
      </c>
      <c r="I134">
        <v>1.8412356548648437E-2</v>
      </c>
    </row>
    <row r="135" spans="1:9" ht="14" thickBot="1">
      <c r="A135" s="76" t="s">
        <v>260</v>
      </c>
      <c r="B135" s="76">
        <v>1.0074670783650383</v>
      </c>
      <c r="C135" s="76">
        <v>0.27438629151709121</v>
      </c>
      <c r="D135" s="76">
        <v>3.6717106849424521</v>
      </c>
      <c r="E135" s="76">
        <v>4.3049304569339284E-3</v>
      </c>
      <c r="F135" s="76">
        <v>0.3960963217833755</v>
      </c>
      <c r="G135" s="76">
        <v>1.6188378349467012</v>
      </c>
      <c r="H135" s="76">
        <v>0.3960963217833755</v>
      </c>
      <c r="I135" s="76">
        <v>1.6188378349467012</v>
      </c>
    </row>
    <row r="138" spans="1:9">
      <c r="A138" t="s">
        <v>236</v>
      </c>
    </row>
    <row r="139" spans="1:9" ht="14" thickBot="1"/>
    <row r="140" spans="1:9">
      <c r="A140" s="78" t="s">
        <v>237</v>
      </c>
      <c r="B140" s="78"/>
    </row>
    <row r="141" spans="1:9">
      <c r="A141" t="s">
        <v>238</v>
      </c>
      <c r="B141">
        <v>0.73834568964171243</v>
      </c>
    </row>
    <row r="142" spans="1:9">
      <c r="A142" t="s">
        <v>239</v>
      </c>
      <c r="B142">
        <v>0.54515435741249596</v>
      </c>
    </row>
    <row r="143" spans="1:9">
      <c r="A143" t="s">
        <v>240</v>
      </c>
      <c r="B143">
        <v>0.49966979315374555</v>
      </c>
    </row>
    <row r="144" spans="1:9">
      <c r="A144" t="s">
        <v>241</v>
      </c>
      <c r="B144">
        <v>5.027942533091672E-2</v>
      </c>
    </row>
    <row r="145" spans="1:9" ht="14" thickBot="1">
      <c r="A145" s="76" t="s">
        <v>242</v>
      </c>
      <c r="B145" s="76">
        <v>12</v>
      </c>
    </row>
    <row r="147" spans="1:9" ht="14" thickBot="1">
      <c r="A147" t="s">
        <v>243</v>
      </c>
    </row>
    <row r="148" spans="1:9">
      <c r="A148" s="77"/>
      <c r="B148" s="77" t="s">
        <v>248</v>
      </c>
      <c r="C148" s="77" t="s">
        <v>249</v>
      </c>
      <c r="D148" s="77" t="s">
        <v>250</v>
      </c>
      <c r="E148" s="77" t="s">
        <v>251</v>
      </c>
      <c r="F148" s="77" t="s">
        <v>252</v>
      </c>
    </row>
    <row r="149" spans="1:9">
      <c r="A149" t="s">
        <v>244</v>
      </c>
      <c r="B149">
        <v>1</v>
      </c>
      <c r="C149">
        <v>3.0299541712794385E-2</v>
      </c>
      <c r="D149">
        <v>3.0299541712794385E-2</v>
      </c>
      <c r="E149">
        <v>11.98548048764957</v>
      </c>
      <c r="F149">
        <v>6.1022288964081911E-3</v>
      </c>
    </row>
    <row r="150" spans="1:9">
      <c r="A150" t="s">
        <v>245</v>
      </c>
      <c r="B150">
        <v>10</v>
      </c>
      <c r="C150">
        <v>2.5280206116072297E-2</v>
      </c>
      <c r="D150">
        <v>2.5280206116072299E-3</v>
      </c>
    </row>
    <row r="151" spans="1:9" ht="14" thickBot="1">
      <c r="A151" s="76" t="s">
        <v>246</v>
      </c>
      <c r="B151" s="76">
        <v>11</v>
      </c>
      <c r="C151" s="76">
        <v>5.5579747828866682E-2</v>
      </c>
      <c r="D151" s="76"/>
      <c r="E151" s="76"/>
      <c r="F151" s="76"/>
    </row>
    <row r="152" spans="1:9" ht="14" thickBot="1"/>
    <row r="153" spans="1:9">
      <c r="A153" s="77"/>
      <c r="B153" s="77" t="s">
        <v>253</v>
      </c>
      <c r="C153" s="77" t="s">
        <v>241</v>
      </c>
      <c r="D153" s="77" t="s">
        <v>254</v>
      </c>
      <c r="E153" s="77" t="s">
        <v>255</v>
      </c>
      <c r="F153" s="77" t="s">
        <v>256</v>
      </c>
      <c r="G153" s="77" t="s">
        <v>257</v>
      </c>
      <c r="H153" s="77" t="s">
        <v>258</v>
      </c>
      <c r="I153" s="77" t="s">
        <v>259</v>
      </c>
    </row>
    <row r="154" spans="1:9">
      <c r="A154" t="s">
        <v>247</v>
      </c>
      <c r="B154">
        <v>1.8985211315475405E-3</v>
      </c>
      <c r="C154">
        <v>1.4773601317661641E-2</v>
      </c>
      <c r="D154">
        <v>0.12850767329682061</v>
      </c>
      <c r="E154">
        <v>0.90029498306651623</v>
      </c>
      <c r="F154">
        <v>-3.1019113948089979E-2</v>
      </c>
      <c r="G154">
        <v>3.4816156211185056E-2</v>
      </c>
      <c r="H154">
        <v>-3.1019113948089979E-2</v>
      </c>
      <c r="I154">
        <v>3.4816156211185056E-2</v>
      </c>
    </row>
    <row r="155" spans="1:9" ht="14" thickBot="1">
      <c r="A155" s="76" t="s">
        <v>260</v>
      </c>
      <c r="B155" s="76">
        <v>0.69713400993842944</v>
      </c>
      <c r="C155" s="76">
        <v>0.20136711403459842</v>
      </c>
      <c r="D155" s="76">
        <v>3.4620052697316281</v>
      </c>
      <c r="E155" s="76">
        <v>6.1022288964082023E-3</v>
      </c>
      <c r="F155" s="76">
        <v>0.24846011964559012</v>
      </c>
      <c r="G155" s="76">
        <v>1.1458079002312687</v>
      </c>
      <c r="H155" s="76">
        <v>0.24846011964559012</v>
      </c>
      <c r="I155" s="76">
        <v>1.1458079002312687</v>
      </c>
    </row>
    <row r="158" spans="1:9">
      <c r="A158" t="s">
        <v>236</v>
      </c>
    </row>
    <row r="159" spans="1:9" ht="14" thickBot="1"/>
    <row r="160" spans="1:9">
      <c r="A160" s="78" t="s">
        <v>237</v>
      </c>
      <c r="B160" s="78"/>
    </row>
    <row r="161" spans="1:9">
      <c r="A161" t="s">
        <v>238</v>
      </c>
      <c r="B161">
        <v>0.42937664311703533</v>
      </c>
    </row>
    <row r="162" spans="1:9">
      <c r="A162" t="s">
        <v>239</v>
      </c>
      <c r="B162">
        <v>0.18436430165445392</v>
      </c>
    </row>
    <row r="163" spans="1:9">
      <c r="A163" t="s">
        <v>240</v>
      </c>
      <c r="B163">
        <v>0.10280073181989931</v>
      </c>
    </row>
    <row r="164" spans="1:9">
      <c r="A164" t="s">
        <v>241</v>
      </c>
      <c r="B164">
        <v>4.3208451363525739E-2</v>
      </c>
    </row>
    <row r="165" spans="1:9" ht="14" thickBot="1">
      <c r="A165" s="76" t="s">
        <v>242</v>
      </c>
      <c r="B165" s="76">
        <v>12</v>
      </c>
    </row>
    <row r="167" spans="1:9" ht="14" thickBot="1">
      <c r="A167" t="s">
        <v>243</v>
      </c>
    </row>
    <row r="168" spans="1:9">
      <c r="A168" s="77"/>
      <c r="B168" s="77" t="s">
        <v>248</v>
      </c>
      <c r="C168" s="77" t="s">
        <v>249</v>
      </c>
      <c r="D168" s="77" t="s">
        <v>250</v>
      </c>
      <c r="E168" s="77" t="s">
        <v>251</v>
      </c>
      <c r="F168" s="77" t="s">
        <v>252</v>
      </c>
    </row>
    <row r="169" spans="1:9">
      <c r="A169" t="s">
        <v>244</v>
      </c>
      <c r="B169">
        <v>1</v>
      </c>
      <c r="C169">
        <v>4.2200540093472357E-3</v>
      </c>
      <c r="D169">
        <v>4.2200540093472357E-3</v>
      </c>
      <c r="E169">
        <v>2.2603755822412217</v>
      </c>
      <c r="F169">
        <v>0.16362884415550671</v>
      </c>
    </row>
    <row r="170" spans="1:9">
      <c r="A170" t="s">
        <v>245</v>
      </c>
      <c r="B170">
        <v>10</v>
      </c>
      <c r="C170">
        <v>1.8669702692341691E-2</v>
      </c>
      <c r="D170">
        <v>1.8669702692341692E-3</v>
      </c>
    </row>
    <row r="171" spans="1:9" ht="14" thickBot="1">
      <c r="A171" s="76" t="s">
        <v>246</v>
      </c>
      <c r="B171" s="76">
        <v>11</v>
      </c>
      <c r="C171" s="76">
        <v>2.2889756701688926E-2</v>
      </c>
      <c r="D171" s="76"/>
      <c r="E171" s="76"/>
      <c r="F171" s="76"/>
    </row>
    <row r="172" spans="1:9" ht="14" thickBot="1"/>
    <row r="173" spans="1:9">
      <c r="A173" s="77"/>
      <c r="B173" s="77" t="s">
        <v>253</v>
      </c>
      <c r="C173" s="77" t="s">
        <v>241</v>
      </c>
      <c r="D173" s="77" t="s">
        <v>254</v>
      </c>
      <c r="E173" s="77" t="s">
        <v>255</v>
      </c>
      <c r="F173" s="77" t="s">
        <v>256</v>
      </c>
      <c r="G173" s="77" t="s">
        <v>257</v>
      </c>
      <c r="H173" s="77" t="s">
        <v>258</v>
      </c>
      <c r="I173" s="77" t="s">
        <v>259</v>
      </c>
    </row>
    <row r="174" spans="1:9">
      <c r="A174" t="s">
        <v>247</v>
      </c>
      <c r="B174">
        <v>-1.545867268778413E-3</v>
      </c>
      <c r="C174">
        <v>1.3746323715282607E-2</v>
      </c>
      <c r="D174">
        <v>-0.11245677759354526</v>
      </c>
      <c r="E174">
        <v>0.91268665863583331</v>
      </c>
      <c r="F174">
        <v>-3.2174585210779899E-2</v>
      </c>
      <c r="G174">
        <v>2.9082850673223075E-2</v>
      </c>
      <c r="H174">
        <v>-3.2174585210779899E-2</v>
      </c>
      <c r="I174">
        <v>2.9082850673223075E-2</v>
      </c>
    </row>
    <row r="175" spans="1:9" ht="14" thickBot="1">
      <c r="A175" s="76" t="s">
        <v>260</v>
      </c>
      <c r="B175" s="76">
        <v>0.52284569768440747</v>
      </c>
      <c r="C175" s="76">
        <v>0.34776288905977815</v>
      </c>
      <c r="D175" s="76">
        <v>1.5034545494431228</v>
      </c>
      <c r="E175" s="76">
        <v>0.16362884415550666</v>
      </c>
      <c r="F175" s="76">
        <v>-0.25201830670867675</v>
      </c>
      <c r="G175" s="76">
        <v>1.2977097020774917</v>
      </c>
      <c r="H175" s="76">
        <v>-0.25201830670867675</v>
      </c>
      <c r="I175" s="76">
        <v>1.2977097020774917</v>
      </c>
    </row>
    <row r="177" spans="1:9">
      <c r="A177" t="s">
        <v>236</v>
      </c>
    </row>
    <row r="178" spans="1:9" ht="14" thickBot="1"/>
    <row r="179" spans="1:9">
      <c r="A179" s="78" t="s">
        <v>237</v>
      </c>
      <c r="B179" s="78"/>
    </row>
    <row r="180" spans="1:9">
      <c r="A180" t="s">
        <v>238</v>
      </c>
      <c r="B180">
        <v>0.12902760379901473</v>
      </c>
    </row>
    <row r="181" spans="1:9">
      <c r="A181" t="s">
        <v>239</v>
      </c>
      <c r="B181">
        <v>1.6648122542115524E-2</v>
      </c>
    </row>
    <row r="182" spans="1:9">
      <c r="A182" t="s">
        <v>240</v>
      </c>
      <c r="B182">
        <v>-8.1687065203672929E-2</v>
      </c>
    </row>
    <row r="183" spans="1:9">
      <c r="A183" t="s">
        <v>241</v>
      </c>
      <c r="B183">
        <v>5.0753295927453881E-2</v>
      </c>
    </row>
    <row r="184" spans="1:9" ht="14" thickBot="1">
      <c r="A184" s="76" t="s">
        <v>242</v>
      </c>
      <c r="B184" s="76">
        <v>12</v>
      </c>
    </row>
    <row r="186" spans="1:9" ht="14" thickBot="1">
      <c r="A186" t="s">
        <v>243</v>
      </c>
    </row>
    <row r="187" spans="1:9">
      <c r="A187" s="77"/>
      <c r="B187" s="77" t="s">
        <v>248</v>
      </c>
      <c r="C187" s="77" t="s">
        <v>249</v>
      </c>
      <c r="D187" s="77" t="s">
        <v>250</v>
      </c>
      <c r="E187" s="77" t="s">
        <v>251</v>
      </c>
      <c r="F187" s="77" t="s">
        <v>252</v>
      </c>
    </row>
    <row r="188" spans="1:9">
      <c r="A188" t="s">
        <v>244</v>
      </c>
      <c r="B188">
        <v>1</v>
      </c>
      <c r="C188">
        <v>4.3609872199064717E-4</v>
      </c>
      <c r="D188">
        <v>4.3609872199064717E-4</v>
      </c>
      <c r="E188">
        <v>0.16929974837850997</v>
      </c>
      <c r="F188">
        <v>0.68941470425571771</v>
      </c>
    </row>
    <row r="189" spans="1:9">
      <c r="A189" t="s">
        <v>245</v>
      </c>
      <c r="B189">
        <v>10</v>
      </c>
      <c r="C189">
        <v>2.5758970474997069E-2</v>
      </c>
      <c r="D189">
        <v>2.575897047499707E-3</v>
      </c>
    </row>
    <row r="190" spans="1:9" ht="14" thickBot="1">
      <c r="A190" s="76" t="s">
        <v>246</v>
      </c>
      <c r="B190" s="76">
        <v>11</v>
      </c>
      <c r="C190" s="76">
        <v>2.6195069196987716E-2</v>
      </c>
      <c r="D190" s="76"/>
      <c r="E190" s="76"/>
      <c r="F190" s="76"/>
    </row>
    <row r="191" spans="1:9" ht="14" thickBot="1"/>
    <row r="192" spans="1:9">
      <c r="A192" s="77"/>
      <c r="B192" s="77" t="s">
        <v>253</v>
      </c>
      <c r="C192" s="77" t="s">
        <v>241</v>
      </c>
      <c r="D192" s="77" t="s">
        <v>254</v>
      </c>
      <c r="E192" s="77" t="s">
        <v>255</v>
      </c>
      <c r="F192" s="77" t="s">
        <v>256</v>
      </c>
      <c r="G192" s="77" t="s">
        <v>257</v>
      </c>
      <c r="H192" s="77" t="s">
        <v>258</v>
      </c>
      <c r="I192" s="77" t="s">
        <v>259</v>
      </c>
    </row>
    <row r="193" spans="1:9">
      <c r="A193" t="s">
        <v>247</v>
      </c>
      <c r="B193">
        <v>-2.8033191897220504E-3</v>
      </c>
      <c r="C193">
        <v>1.4781588571452847E-2</v>
      </c>
      <c r="D193">
        <v>-0.18964938552923874</v>
      </c>
      <c r="E193">
        <v>0.85337807333089599</v>
      </c>
      <c r="F193">
        <v>-3.5738750979852428E-2</v>
      </c>
      <c r="G193">
        <v>3.013211260040833E-2</v>
      </c>
      <c r="H193">
        <v>-3.5738750979852428E-2</v>
      </c>
      <c r="I193">
        <v>3.013211260040833E-2</v>
      </c>
    </row>
    <row r="194" spans="1:9" ht="14" thickBot="1">
      <c r="A194" s="76" t="s">
        <v>260</v>
      </c>
      <c r="B194" s="76">
        <v>9.1897139888744858E-2</v>
      </c>
      <c r="C194" s="76">
        <v>0.22334376798100875</v>
      </c>
      <c r="D194" s="76">
        <v>0.4114605064626608</v>
      </c>
      <c r="E194" s="76">
        <v>0.68941470425571827</v>
      </c>
      <c r="F194" s="76">
        <v>-0.40574378689874879</v>
      </c>
      <c r="G194" s="76">
        <v>0.58953806667623854</v>
      </c>
      <c r="H194" s="76">
        <v>-0.40574378689874879</v>
      </c>
      <c r="I194" s="76">
        <v>0.58953806667623854</v>
      </c>
    </row>
    <row r="196" spans="1:9">
      <c r="A196" t="s">
        <v>236</v>
      </c>
    </row>
    <row r="197" spans="1:9" ht="14" thickBot="1"/>
    <row r="198" spans="1:9">
      <c r="A198" s="78" t="s">
        <v>237</v>
      </c>
      <c r="B198" s="78"/>
    </row>
    <row r="199" spans="1:9">
      <c r="A199" t="s">
        <v>238</v>
      </c>
      <c r="B199">
        <v>0.80144734496218994</v>
      </c>
    </row>
    <row r="200" spans="1:9">
      <c r="A200" t="s">
        <v>239</v>
      </c>
      <c r="B200">
        <v>0.64231784674694348</v>
      </c>
    </row>
    <row r="201" spans="1:9">
      <c r="A201" t="s">
        <v>240</v>
      </c>
      <c r="B201">
        <v>0.60257538527438159</v>
      </c>
    </row>
    <row r="202" spans="1:9">
      <c r="A202" t="s">
        <v>241</v>
      </c>
      <c r="B202">
        <v>3.0005166608964139E-2</v>
      </c>
    </row>
    <row r="203" spans="1:9" ht="14" thickBot="1">
      <c r="A203" s="76" t="s">
        <v>242</v>
      </c>
      <c r="B203" s="76">
        <v>11</v>
      </c>
    </row>
    <row r="205" spans="1:9" ht="14" thickBot="1">
      <c r="A205" t="s">
        <v>243</v>
      </c>
    </row>
    <row r="206" spans="1:9">
      <c r="A206" s="77"/>
      <c r="B206" s="77" t="s">
        <v>248</v>
      </c>
      <c r="C206" s="77" t="s">
        <v>249</v>
      </c>
      <c r="D206" s="77" t="s">
        <v>250</v>
      </c>
      <c r="E206" s="77" t="s">
        <v>251</v>
      </c>
      <c r="F206" s="77" t="s">
        <v>252</v>
      </c>
    </row>
    <row r="207" spans="1:9">
      <c r="A207" t="s">
        <v>244</v>
      </c>
      <c r="B207">
        <v>1</v>
      </c>
      <c r="C207">
        <v>1.4550814773416125E-2</v>
      </c>
      <c r="D207">
        <v>1.4550814773416125E-2</v>
      </c>
      <c r="E207">
        <v>16.162004640563072</v>
      </c>
      <c r="F207">
        <v>3.0171545006813126E-3</v>
      </c>
    </row>
    <row r="208" spans="1:9">
      <c r="A208" t="s">
        <v>245</v>
      </c>
      <c r="B208">
        <v>9</v>
      </c>
      <c r="C208">
        <v>8.1027902090852685E-3</v>
      </c>
      <c r="D208">
        <v>9.0031002323169649E-4</v>
      </c>
    </row>
    <row r="209" spans="1:9" ht="14" thickBot="1">
      <c r="A209" s="76" t="s">
        <v>246</v>
      </c>
      <c r="B209" s="76">
        <v>10</v>
      </c>
      <c r="C209" s="76">
        <v>2.2653604982501394E-2</v>
      </c>
      <c r="D209" s="76"/>
      <c r="E209" s="76"/>
      <c r="F209" s="76"/>
    </row>
    <row r="210" spans="1:9" ht="14" thickBot="1"/>
    <row r="211" spans="1:9">
      <c r="A211" s="77"/>
      <c r="B211" s="77" t="s">
        <v>253</v>
      </c>
      <c r="C211" s="77" t="s">
        <v>241</v>
      </c>
      <c r="D211" s="77" t="s">
        <v>254</v>
      </c>
      <c r="E211" s="77" t="s">
        <v>255</v>
      </c>
      <c r="F211" s="77" t="s">
        <v>256</v>
      </c>
      <c r="G211" s="77" t="s">
        <v>257</v>
      </c>
      <c r="H211" s="77" t="s">
        <v>258</v>
      </c>
      <c r="I211" s="77" t="s">
        <v>259</v>
      </c>
    </row>
    <row r="212" spans="1:9">
      <c r="A212" t="s">
        <v>247</v>
      </c>
      <c r="B212">
        <v>-1.4164615174666897E-2</v>
      </c>
      <c r="C212">
        <v>9.3776767096396454E-3</v>
      </c>
      <c r="D212">
        <v>-1.5104610249686459</v>
      </c>
      <c r="E212">
        <v>0.16520888296923608</v>
      </c>
      <c r="F212">
        <v>-3.5378393713784123E-2</v>
      </c>
      <c r="G212">
        <v>7.0491633644503317E-3</v>
      </c>
      <c r="H212">
        <v>-3.5378393713784123E-2</v>
      </c>
      <c r="I212">
        <v>7.0491633644503317E-3</v>
      </c>
    </row>
    <row r="213" spans="1:9" ht="14" thickBot="1">
      <c r="A213" s="76" t="s">
        <v>260</v>
      </c>
      <c r="B213" s="76">
        <v>0.90349806888535855</v>
      </c>
      <c r="C213" s="76">
        <v>0.22473960596588072</v>
      </c>
      <c r="D213" s="76">
        <v>4.0201995772054744</v>
      </c>
      <c r="E213" s="76">
        <v>3.0171545006813126E-3</v>
      </c>
      <c r="F213" s="76">
        <v>0.39510175948519521</v>
      </c>
      <c r="G213" s="76">
        <v>1.4118943782855218</v>
      </c>
      <c r="H213" s="76">
        <v>0.39510175948519521</v>
      </c>
      <c r="I213" s="76">
        <v>1.4118943782855218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F047-E635-4A19-8F15-5539704A08DC}">
  <dimension ref="A1:H133"/>
  <sheetViews>
    <sheetView workbookViewId="0">
      <selection activeCell="S20" sqref="S20"/>
    </sheetView>
  </sheetViews>
  <sheetFormatPr baseColWidth="10" defaultColWidth="8.83203125" defaultRowHeight="15"/>
  <cols>
    <col min="1" max="1" width="14.1640625" style="72" customWidth="1"/>
    <col min="4" max="16384" width="8.83203125" style="72"/>
  </cols>
  <sheetData>
    <row r="1" spans="1:8">
      <c r="A1" s="72" t="s">
        <v>228</v>
      </c>
      <c r="B1" s="75" t="s">
        <v>233</v>
      </c>
      <c r="C1" s="75" t="s">
        <v>235</v>
      </c>
      <c r="D1" s="72" t="s">
        <v>229</v>
      </c>
      <c r="E1" s="72" t="s">
        <v>230</v>
      </c>
      <c r="F1" s="72" t="s">
        <v>231</v>
      </c>
      <c r="G1" s="72" t="s">
        <v>234</v>
      </c>
      <c r="H1" s="72" t="s">
        <v>232</v>
      </c>
    </row>
    <row r="2" spans="1:8">
      <c r="A2" s="73">
        <v>41275</v>
      </c>
      <c r="B2" s="75">
        <v>54.234737000000003</v>
      </c>
      <c r="C2" s="75">
        <f>(B3-B2)/B2</f>
        <v>2.9627340130735761E-2</v>
      </c>
      <c r="D2" s="72">
        <v>1498.11</v>
      </c>
      <c r="E2" s="72">
        <v>1.1060603E-2</v>
      </c>
      <c r="F2" s="72">
        <v>1.577901E-3</v>
      </c>
      <c r="G2" s="72">
        <f>C2-F2</f>
        <v>2.8049439130735761E-2</v>
      </c>
      <c r="H2" s="72">
        <f>E2-F2</f>
        <v>9.4827020000000008E-3</v>
      </c>
    </row>
    <row r="3" spans="1:8">
      <c r="A3" s="73">
        <v>41306</v>
      </c>
      <c r="B3" s="75">
        <v>55.841568000000002</v>
      </c>
      <c r="C3" s="75">
        <f t="shared" ref="C3:C66" si="0">(B4-B3)/B3</f>
        <v>7.978089010681072E-2</v>
      </c>
      <c r="D3" s="72">
        <v>1514.68</v>
      </c>
      <c r="E3" s="72">
        <v>3.5987799000000001E-2</v>
      </c>
      <c r="F3" s="72">
        <v>1.6352129999999999E-3</v>
      </c>
      <c r="G3" s="72">
        <f t="shared" ref="G3:G66" si="1">C3-F3</f>
        <v>7.8145677106810724E-2</v>
      </c>
      <c r="H3" s="72">
        <f t="shared" ref="H3:H66" si="2">E3-F3</f>
        <v>3.4352586000000004E-2</v>
      </c>
    </row>
    <row r="4" spans="1:8">
      <c r="A4" s="73">
        <v>41334</v>
      </c>
      <c r="B4" s="75">
        <v>60.296658000000001</v>
      </c>
      <c r="C4" s="75">
        <f t="shared" si="0"/>
        <v>4.538183525859759E-2</v>
      </c>
      <c r="D4" s="72">
        <v>1569.19</v>
      </c>
      <c r="E4" s="72">
        <v>1.8085764000000001E-2</v>
      </c>
      <c r="F4" s="72">
        <v>1.6188419999999999E-3</v>
      </c>
      <c r="G4" s="72">
        <f t="shared" si="1"/>
        <v>4.3762993258597588E-2</v>
      </c>
      <c r="H4" s="72">
        <f t="shared" si="2"/>
        <v>1.6466922000000002E-2</v>
      </c>
    </row>
    <row r="5" spans="1:8">
      <c r="A5" s="73">
        <v>41365</v>
      </c>
      <c r="B5" s="75">
        <v>63.033031000000001</v>
      </c>
      <c r="C5" s="75">
        <f t="shared" si="0"/>
        <v>-1.2319493251086127E-2</v>
      </c>
      <c r="D5" s="72">
        <v>1597.57</v>
      </c>
      <c r="E5" s="72">
        <v>2.0762783E-2</v>
      </c>
      <c r="F5" s="72">
        <v>1.4549669999999999E-3</v>
      </c>
      <c r="G5" s="72">
        <f t="shared" si="1"/>
        <v>-1.3774460251086126E-2</v>
      </c>
      <c r="H5" s="72">
        <f t="shared" si="2"/>
        <v>1.9307815999999998E-2</v>
      </c>
    </row>
    <row r="6" spans="1:8">
      <c r="A6" s="73">
        <v>41395</v>
      </c>
      <c r="B6" s="75">
        <v>62.256495999999999</v>
      </c>
      <c r="C6" s="75">
        <f t="shared" si="0"/>
        <v>2.7624603222128018E-2</v>
      </c>
      <c r="D6" s="72">
        <v>1630.74</v>
      </c>
      <c r="E6" s="72">
        <v>-1.4999325000000001E-2</v>
      </c>
      <c r="F6" s="72">
        <v>1.5942790000000001E-3</v>
      </c>
      <c r="G6" s="72">
        <f t="shared" si="1"/>
        <v>2.6030324222128018E-2</v>
      </c>
      <c r="H6" s="72">
        <f t="shared" si="2"/>
        <v>-1.6593604000000001E-2</v>
      </c>
    </row>
    <row r="7" spans="1:8">
      <c r="A7" s="73">
        <v>41426</v>
      </c>
      <c r="B7" s="75">
        <v>63.976306999999998</v>
      </c>
      <c r="C7" s="75">
        <f t="shared" si="0"/>
        <v>8.8981613146254288E-2</v>
      </c>
      <c r="D7" s="72">
        <v>1606.28</v>
      </c>
      <c r="E7" s="72">
        <v>4.9462111000000003E-2</v>
      </c>
      <c r="F7" s="72">
        <v>1.8967540000000001E-3</v>
      </c>
      <c r="G7" s="72">
        <f t="shared" si="1"/>
        <v>8.7084859146254287E-2</v>
      </c>
      <c r="H7" s="72">
        <f t="shared" si="2"/>
        <v>4.7565357000000003E-2</v>
      </c>
    </row>
    <row r="8" spans="1:8">
      <c r="A8" s="73">
        <v>41456</v>
      </c>
      <c r="B8" s="75">
        <v>69.669021999999998</v>
      </c>
      <c r="C8" s="75">
        <f t="shared" si="0"/>
        <v>-7.5828407638620102E-2</v>
      </c>
      <c r="D8" s="72">
        <v>1685.73</v>
      </c>
      <c r="E8" s="72">
        <v>-3.1298013E-2</v>
      </c>
      <c r="F8" s="72">
        <v>2.124988E-3</v>
      </c>
      <c r="G8" s="72">
        <f t="shared" si="1"/>
        <v>-7.7953395638620096E-2</v>
      </c>
      <c r="H8" s="72">
        <f t="shared" si="2"/>
        <v>-3.3423001000000001E-2</v>
      </c>
    </row>
    <row r="9" spans="1:8">
      <c r="A9" s="73">
        <v>41487</v>
      </c>
      <c r="B9" s="75">
        <v>64.386131000000006</v>
      </c>
      <c r="C9" s="75">
        <f t="shared" si="0"/>
        <v>1.0798754160270943E-2</v>
      </c>
      <c r="D9" s="72">
        <v>1632.97</v>
      </c>
      <c r="E9" s="72">
        <v>2.9749475000000001E-2</v>
      </c>
      <c r="F9" s="72">
        <v>2.2551509999999999E-3</v>
      </c>
      <c r="G9" s="72">
        <f t="shared" si="1"/>
        <v>8.5436031602709427E-3</v>
      </c>
      <c r="H9" s="72">
        <f t="shared" si="2"/>
        <v>2.7494324000000001E-2</v>
      </c>
    </row>
    <row r="10" spans="1:8">
      <c r="A10" s="73">
        <v>41518</v>
      </c>
      <c r="B10" s="75">
        <v>65.081421000000006</v>
      </c>
      <c r="C10" s="75">
        <f t="shared" si="0"/>
        <v>6.8288859273678004E-2</v>
      </c>
      <c r="D10" s="72">
        <v>1681.55</v>
      </c>
      <c r="E10" s="72">
        <v>4.4595759999999998E-2</v>
      </c>
      <c r="F10" s="72">
        <v>2.3120390000000001E-3</v>
      </c>
      <c r="G10" s="72">
        <f t="shared" si="1"/>
        <v>6.5976820273678002E-2</v>
      </c>
      <c r="H10" s="72">
        <f t="shared" si="2"/>
        <v>4.2283720999999996E-2</v>
      </c>
    </row>
    <row r="11" spans="1:8">
      <c r="A11" s="73">
        <v>41548</v>
      </c>
      <c r="B11" s="75">
        <v>69.525756999999999</v>
      </c>
      <c r="C11" s="75">
        <f t="shared" si="0"/>
        <v>2.2136472386773218E-2</v>
      </c>
      <c r="D11" s="72">
        <v>1756.54</v>
      </c>
      <c r="E11" s="72">
        <v>2.8049461000000001E-2</v>
      </c>
      <c r="F11" s="72">
        <v>2.1575460000000002E-3</v>
      </c>
      <c r="G11" s="72">
        <f t="shared" si="1"/>
        <v>1.9978926386773219E-2</v>
      </c>
      <c r="H11" s="72">
        <f t="shared" si="2"/>
        <v>2.5891915000000001E-2</v>
      </c>
    </row>
    <row r="12" spans="1:8">
      <c r="A12" s="73">
        <v>41579</v>
      </c>
      <c r="B12" s="75">
        <v>71.064812000000003</v>
      </c>
      <c r="C12" s="75">
        <f t="shared" si="0"/>
        <v>-2.5677307075687487E-2</v>
      </c>
      <c r="D12" s="72">
        <v>1805.81</v>
      </c>
      <c r="E12" s="72">
        <v>2.3562832999999998E-2</v>
      </c>
      <c r="F12" s="72">
        <v>2.2388899999999999E-3</v>
      </c>
      <c r="G12" s="72">
        <f t="shared" si="1"/>
        <v>-2.7916197075687488E-2</v>
      </c>
      <c r="H12" s="72">
        <f t="shared" si="2"/>
        <v>2.1323942999999998E-2</v>
      </c>
    </row>
    <row r="13" spans="1:8">
      <c r="A13" s="73">
        <v>41609</v>
      </c>
      <c r="B13" s="75">
        <v>69.240059000000002</v>
      </c>
      <c r="C13" s="75">
        <f t="shared" si="0"/>
        <v>-3.4065150060025168E-2</v>
      </c>
      <c r="D13" s="72">
        <v>1848.36</v>
      </c>
      <c r="E13" s="72">
        <v>-3.5582895000000003E-2</v>
      </c>
      <c r="F13" s="72">
        <v>2.3851279999999998E-3</v>
      </c>
      <c r="G13" s="72">
        <f t="shared" si="1"/>
        <v>-3.6450278060025168E-2</v>
      </c>
      <c r="H13" s="72">
        <f t="shared" si="2"/>
        <v>-3.7968023000000004E-2</v>
      </c>
    </row>
    <row r="14" spans="1:8">
      <c r="A14" s="73">
        <v>41640</v>
      </c>
      <c r="B14" s="75">
        <v>66.881386000000006</v>
      </c>
      <c r="C14" s="75">
        <f t="shared" si="0"/>
        <v>4.1257189257411613E-2</v>
      </c>
      <c r="D14" s="72">
        <v>1782.59</v>
      </c>
      <c r="E14" s="72">
        <v>4.3117038000000003E-2</v>
      </c>
      <c r="F14" s="72">
        <v>2.3526509999999999E-3</v>
      </c>
      <c r="G14" s="72">
        <f t="shared" si="1"/>
        <v>3.8904538257411615E-2</v>
      </c>
      <c r="H14" s="72">
        <f t="shared" si="2"/>
        <v>4.0764387000000006E-2</v>
      </c>
    </row>
    <row r="15" spans="1:8">
      <c r="A15" s="73">
        <v>41671</v>
      </c>
      <c r="B15" s="75">
        <v>69.640724000000006</v>
      </c>
      <c r="C15" s="75">
        <f t="shared" si="0"/>
        <v>7.3999546587137616E-2</v>
      </c>
      <c r="D15" s="72">
        <v>1859.45</v>
      </c>
      <c r="E15" s="72">
        <v>6.9321570000000004E-3</v>
      </c>
      <c r="F15" s="72">
        <v>2.2307590000000001E-3</v>
      </c>
      <c r="G15" s="72">
        <f t="shared" si="1"/>
        <v>7.1768787587137617E-2</v>
      </c>
      <c r="H15" s="72">
        <f t="shared" si="2"/>
        <v>4.7013980000000007E-3</v>
      </c>
    </row>
    <row r="16" spans="1:8">
      <c r="A16" s="73">
        <v>41699</v>
      </c>
      <c r="B16" s="75">
        <v>74.794105999999999</v>
      </c>
      <c r="C16" s="75">
        <f t="shared" si="0"/>
        <v>3.1151492070778969E-2</v>
      </c>
      <c r="D16" s="72">
        <v>1872.34</v>
      </c>
      <c r="E16" s="72">
        <v>6.2007970000000001E-3</v>
      </c>
      <c r="F16" s="72">
        <v>2.2388899999999999E-3</v>
      </c>
      <c r="G16" s="72">
        <f t="shared" si="1"/>
        <v>2.8912602070778969E-2</v>
      </c>
      <c r="H16" s="72">
        <f t="shared" si="2"/>
        <v>3.9619070000000006E-3</v>
      </c>
    </row>
    <row r="17" spans="1:8">
      <c r="A17" s="73">
        <v>41730</v>
      </c>
      <c r="B17" s="75">
        <v>77.124054000000001</v>
      </c>
      <c r="C17" s="75">
        <f t="shared" si="0"/>
        <v>1.6783350107607471E-3</v>
      </c>
      <c r="D17" s="72">
        <v>1883.95</v>
      </c>
      <c r="E17" s="72">
        <v>2.1030282000000001E-2</v>
      </c>
      <c r="F17" s="72">
        <v>2.2307590000000001E-3</v>
      </c>
      <c r="G17" s="72">
        <f t="shared" si="1"/>
        <v>-5.5242398923925303E-4</v>
      </c>
      <c r="H17" s="72">
        <f t="shared" si="2"/>
        <v>1.8799523000000002E-2</v>
      </c>
    </row>
    <row r="18" spans="1:8">
      <c r="A18" s="73">
        <v>41760</v>
      </c>
      <c r="B18" s="75">
        <v>77.253494000000003</v>
      </c>
      <c r="C18" s="75">
        <f t="shared" si="0"/>
        <v>3.8331897324928643E-2</v>
      </c>
      <c r="D18" s="72">
        <v>1923.57</v>
      </c>
      <c r="E18" s="72">
        <v>1.9058313E-2</v>
      </c>
      <c r="F18" s="72">
        <v>2.1087039999999999E-3</v>
      </c>
      <c r="G18" s="72">
        <f t="shared" si="1"/>
        <v>3.622319332492864E-2</v>
      </c>
      <c r="H18" s="72">
        <f t="shared" si="2"/>
        <v>1.6949609000000001E-2</v>
      </c>
    </row>
    <row r="19" spans="1:8">
      <c r="A19" s="73">
        <v>41791</v>
      </c>
      <c r="B19" s="75">
        <v>80.214766999999995</v>
      </c>
      <c r="C19" s="75">
        <f t="shared" si="0"/>
        <v>-4.3299770477423442E-2</v>
      </c>
      <c r="D19" s="72">
        <v>1960.23</v>
      </c>
      <c r="E19" s="72">
        <v>-1.5079863000000001E-2</v>
      </c>
      <c r="F19" s="72">
        <v>2.141268E-3</v>
      </c>
      <c r="G19" s="72">
        <f t="shared" si="1"/>
        <v>-4.5441038477423444E-2</v>
      </c>
      <c r="H19" s="72">
        <f t="shared" si="2"/>
        <v>-1.7221131000000001E-2</v>
      </c>
    </row>
    <row r="20" spans="1:8">
      <c r="A20" s="73">
        <v>41821</v>
      </c>
      <c r="B20" s="75">
        <v>76.741485999999995</v>
      </c>
      <c r="C20" s="75">
        <f t="shared" si="0"/>
        <v>3.6367161303079251E-2</v>
      </c>
      <c r="D20" s="72">
        <v>1930.67</v>
      </c>
      <c r="E20" s="72">
        <v>3.7655321999999998E-2</v>
      </c>
      <c r="F20" s="72">
        <v>2.092418E-3</v>
      </c>
      <c r="G20" s="72">
        <f t="shared" si="1"/>
        <v>3.4274743303079253E-2</v>
      </c>
      <c r="H20" s="72">
        <f t="shared" si="2"/>
        <v>3.5562903999999999E-2</v>
      </c>
    </row>
    <row r="21" spans="1:8">
      <c r="A21" s="73">
        <v>41852</v>
      </c>
      <c r="B21" s="75">
        <v>79.532355999999993</v>
      </c>
      <c r="C21" s="75">
        <f t="shared" si="0"/>
        <v>3.4522251547533744E-2</v>
      </c>
      <c r="D21" s="72">
        <v>2003.37</v>
      </c>
      <c r="E21" s="72">
        <v>-1.5513859E-2</v>
      </c>
      <c r="F21" s="72">
        <v>1.994638E-3</v>
      </c>
      <c r="G21" s="72">
        <f t="shared" si="1"/>
        <v>3.2527613547533744E-2</v>
      </c>
      <c r="H21" s="72">
        <f t="shared" si="2"/>
        <v>-1.7508496999999998E-2</v>
      </c>
    </row>
    <row r="22" spans="1:8">
      <c r="A22" s="73">
        <v>41883</v>
      </c>
      <c r="B22" s="75">
        <v>82.277991999999998</v>
      </c>
      <c r="C22" s="75">
        <f t="shared" si="0"/>
        <v>1.1164054659963134E-2</v>
      </c>
      <c r="D22" s="72">
        <v>1972.29</v>
      </c>
      <c r="E22" s="72">
        <v>2.3201455999999999E-2</v>
      </c>
      <c r="F22" s="72">
        <v>2.0842730000000002E-3</v>
      </c>
      <c r="G22" s="72">
        <f t="shared" si="1"/>
        <v>9.0797816599631348E-3</v>
      </c>
      <c r="H22" s="72">
        <f t="shared" si="2"/>
        <v>2.1117182999999998E-2</v>
      </c>
    </row>
    <row r="23" spans="1:8">
      <c r="A23" s="73">
        <v>41913</v>
      </c>
      <c r="B23" s="75">
        <v>83.196548000000007</v>
      </c>
      <c r="C23" s="75">
        <f t="shared" si="0"/>
        <v>4.3606737144910911E-3</v>
      </c>
      <c r="D23" s="72">
        <v>2018.05</v>
      </c>
      <c r="E23" s="72">
        <v>2.4533584000000001E-2</v>
      </c>
      <c r="F23" s="72">
        <v>1.8967540000000001E-3</v>
      </c>
      <c r="G23" s="72">
        <f t="shared" si="1"/>
        <v>2.463919714491091E-3</v>
      </c>
      <c r="H23" s="72">
        <f t="shared" si="2"/>
        <v>2.263683E-2</v>
      </c>
    </row>
    <row r="24" spans="1:8">
      <c r="A24" s="73">
        <v>41944</v>
      </c>
      <c r="B24" s="75">
        <v>83.559341000000003</v>
      </c>
      <c r="C24" s="75">
        <f t="shared" si="0"/>
        <v>-2.7703880527253151E-2</v>
      </c>
      <c r="D24" s="72">
        <v>2067.56</v>
      </c>
      <c r="E24" s="72">
        <v>-4.1885120000000001E-3</v>
      </c>
      <c r="F24" s="72">
        <v>1.9212350000000001E-3</v>
      </c>
      <c r="G24" s="72">
        <f t="shared" si="1"/>
        <v>-2.9625115527253151E-2</v>
      </c>
      <c r="H24" s="72">
        <f t="shared" si="2"/>
        <v>-6.1097470000000004E-3</v>
      </c>
    </row>
    <row r="25" spans="1:8">
      <c r="A25" s="73">
        <v>41974</v>
      </c>
      <c r="B25" s="75">
        <v>81.244422999999998</v>
      </c>
      <c r="C25" s="75">
        <f t="shared" si="0"/>
        <v>-4.2364126335169991E-2</v>
      </c>
      <c r="D25" s="72">
        <v>2058.9</v>
      </c>
      <c r="E25" s="72">
        <v>-3.1040847E-2</v>
      </c>
      <c r="F25" s="72">
        <v>1.823271E-3</v>
      </c>
      <c r="G25" s="72">
        <f t="shared" si="1"/>
        <v>-4.4187397335169992E-2</v>
      </c>
      <c r="H25" s="72">
        <f t="shared" si="2"/>
        <v>-3.2864117999999998E-2</v>
      </c>
    </row>
    <row r="26" spans="1:8">
      <c r="A26" s="73">
        <v>42005</v>
      </c>
      <c r="B26" s="75">
        <v>77.802574000000007</v>
      </c>
      <c r="C26" s="75">
        <f t="shared" si="0"/>
        <v>2.366721183286298E-2</v>
      </c>
      <c r="D26" s="72">
        <v>1994.99</v>
      </c>
      <c r="E26" s="72">
        <v>5.4892506000000001E-2</v>
      </c>
      <c r="F26" s="72">
        <v>1.553327E-3</v>
      </c>
      <c r="G26" s="72">
        <f t="shared" si="1"/>
        <v>2.211388483286298E-2</v>
      </c>
      <c r="H26" s="72">
        <f t="shared" si="2"/>
        <v>5.3339179E-2</v>
      </c>
    </row>
    <row r="27" spans="1:8">
      <c r="A27" s="73">
        <v>42036</v>
      </c>
      <c r="B27" s="75">
        <v>79.643944000000005</v>
      </c>
      <c r="C27" s="75">
        <f t="shared" si="0"/>
        <v>-1.1762903153063437E-2</v>
      </c>
      <c r="D27" s="72">
        <v>2104.5</v>
      </c>
      <c r="E27" s="72">
        <v>-1.7396056E-2</v>
      </c>
      <c r="F27" s="72">
        <v>1.6352129999999999E-3</v>
      </c>
      <c r="G27" s="72">
        <f t="shared" si="1"/>
        <v>-1.3398116153063437E-2</v>
      </c>
      <c r="H27" s="72">
        <f t="shared" si="2"/>
        <v>-1.9031269E-2</v>
      </c>
    </row>
    <row r="28" spans="1:8">
      <c r="A28" s="73">
        <v>42064</v>
      </c>
      <c r="B28" s="75">
        <v>78.707099999999997</v>
      </c>
      <c r="C28" s="75">
        <f t="shared" si="0"/>
        <v>-1.3916622515630746E-2</v>
      </c>
      <c r="D28" s="72">
        <v>2067.89</v>
      </c>
      <c r="E28" s="72">
        <v>8.5207630000000006E-3</v>
      </c>
      <c r="F28" s="72">
        <v>1.6843089999999999E-3</v>
      </c>
      <c r="G28" s="72">
        <f t="shared" si="1"/>
        <v>-1.5600931515630747E-2</v>
      </c>
      <c r="H28" s="72">
        <f t="shared" si="2"/>
        <v>6.8364540000000005E-3</v>
      </c>
    </row>
    <row r="29" spans="1:8">
      <c r="A29" s="73">
        <v>42095</v>
      </c>
      <c r="B29" s="75">
        <v>77.611762999999996</v>
      </c>
      <c r="C29" s="75">
        <f t="shared" si="0"/>
        <v>9.4756254924914518E-3</v>
      </c>
      <c r="D29" s="72">
        <v>2085.5100000000002</v>
      </c>
      <c r="E29" s="72">
        <v>1.0491439E-2</v>
      </c>
      <c r="F29" s="72">
        <v>1.5942790000000001E-3</v>
      </c>
      <c r="G29" s="72">
        <f t="shared" si="1"/>
        <v>7.8813464924914513E-3</v>
      </c>
      <c r="H29" s="72">
        <f t="shared" si="2"/>
        <v>8.8971599999999994E-3</v>
      </c>
    </row>
    <row r="30" spans="1:8">
      <c r="A30" s="73">
        <v>42125</v>
      </c>
      <c r="B30" s="75">
        <v>78.347183000000001</v>
      </c>
      <c r="C30" s="75">
        <f t="shared" si="0"/>
        <v>-1.9665263523259008E-2</v>
      </c>
      <c r="D30" s="72">
        <v>2107.39</v>
      </c>
      <c r="E30" s="72">
        <v>-2.1011773000000001E-2</v>
      </c>
      <c r="F30" s="72">
        <v>1.815103E-3</v>
      </c>
      <c r="G30" s="72">
        <f t="shared" si="1"/>
        <v>-2.1480366523259006E-2</v>
      </c>
      <c r="H30" s="72">
        <f t="shared" si="2"/>
        <v>-2.2826875999999999E-2</v>
      </c>
    </row>
    <row r="31" spans="1:8">
      <c r="A31" s="73">
        <v>42156</v>
      </c>
      <c r="B31" s="75">
        <v>76.806465000000003</v>
      </c>
      <c r="C31" s="75">
        <f t="shared" si="0"/>
        <v>2.8216947622833527E-2</v>
      </c>
      <c r="D31" s="72">
        <v>2063.11</v>
      </c>
      <c r="E31" s="72">
        <v>1.9742039999999999E-2</v>
      </c>
      <c r="F31" s="72">
        <v>1.9457089999999999E-3</v>
      </c>
      <c r="G31" s="72">
        <f t="shared" si="1"/>
        <v>2.6271238622833527E-2</v>
      </c>
      <c r="H31" s="72">
        <f t="shared" si="2"/>
        <v>1.7796330999999999E-2</v>
      </c>
    </row>
    <row r="32" spans="1:8">
      <c r="A32" s="73">
        <v>42186</v>
      </c>
      <c r="B32" s="75">
        <v>78.973708999999999</v>
      </c>
      <c r="C32" s="75">
        <f t="shared" si="0"/>
        <v>-6.2169639265644748E-2</v>
      </c>
      <c r="D32" s="72">
        <v>2103.84</v>
      </c>
      <c r="E32" s="72">
        <v>-6.2580805000000003E-2</v>
      </c>
      <c r="F32" s="72">
        <v>1.913075E-3</v>
      </c>
      <c r="G32" s="72">
        <f t="shared" si="1"/>
        <v>-6.4082714265644741E-2</v>
      </c>
      <c r="H32" s="72">
        <f t="shared" si="2"/>
        <v>-6.4493880000000003E-2</v>
      </c>
    </row>
    <row r="33" spans="1:8">
      <c r="A33" s="73">
        <v>42217</v>
      </c>
      <c r="B33" s="75">
        <v>74.063941999999997</v>
      </c>
      <c r="C33" s="75">
        <f t="shared" si="0"/>
        <v>8.9526695730034189E-4</v>
      </c>
      <c r="D33" s="72">
        <v>1972.18</v>
      </c>
      <c r="E33" s="72">
        <v>-2.6442819999999999E-2</v>
      </c>
      <c r="F33" s="72">
        <v>1.790593E-3</v>
      </c>
      <c r="G33" s="72">
        <f t="shared" si="1"/>
        <v>-8.9532604269965815E-4</v>
      </c>
      <c r="H33" s="72">
        <f t="shared" si="2"/>
        <v>-2.8233412999999999E-2</v>
      </c>
    </row>
    <row r="34" spans="1:8">
      <c r="A34" s="73">
        <v>42248</v>
      </c>
      <c r="B34" s="75">
        <v>74.130249000000006</v>
      </c>
      <c r="C34" s="75">
        <f t="shared" si="0"/>
        <v>8.227069357341546E-2</v>
      </c>
      <c r="D34" s="72">
        <v>1920.03</v>
      </c>
      <c r="E34" s="72">
        <v>8.2983078000000002E-2</v>
      </c>
      <c r="F34" s="72">
        <v>1.790593E-3</v>
      </c>
      <c r="G34" s="72">
        <f t="shared" si="1"/>
        <v>8.0480100573415453E-2</v>
      </c>
      <c r="H34" s="72">
        <f t="shared" si="2"/>
        <v>8.1192485000000009E-2</v>
      </c>
    </row>
    <row r="35" spans="1:8">
      <c r="A35" s="73">
        <v>42278</v>
      </c>
      <c r="B35" s="75">
        <v>80.228995999999995</v>
      </c>
      <c r="C35" s="75">
        <f t="shared" si="0"/>
        <v>2.078787075934558E-3</v>
      </c>
      <c r="D35" s="72">
        <v>2079.36</v>
      </c>
      <c r="E35" s="72">
        <v>5.0496299999999998E-4</v>
      </c>
      <c r="F35" s="72">
        <v>1.7088470000000001E-3</v>
      </c>
      <c r="G35" s="72">
        <f t="shared" si="1"/>
        <v>3.6994007593455793E-4</v>
      </c>
      <c r="H35" s="72">
        <f t="shared" si="2"/>
        <v>-1.2038840000000001E-3</v>
      </c>
    </row>
    <row r="36" spans="1:8">
      <c r="A36" s="73">
        <v>42309</v>
      </c>
      <c r="B36" s="75">
        <v>80.395775</v>
      </c>
      <c r="C36" s="75">
        <f t="shared" si="0"/>
        <v>2.2098313002144734E-2</v>
      </c>
      <c r="D36" s="72">
        <v>2080.41</v>
      </c>
      <c r="E36" s="72">
        <v>-1.7530198E-2</v>
      </c>
      <c r="F36" s="72">
        <v>1.8641020000000001E-3</v>
      </c>
      <c r="G36" s="72">
        <f t="shared" si="1"/>
        <v>2.0234211002144734E-2</v>
      </c>
      <c r="H36" s="72">
        <f t="shared" si="2"/>
        <v>-1.93943E-2</v>
      </c>
    </row>
    <row r="37" spans="1:8">
      <c r="A37" s="73">
        <v>42339</v>
      </c>
      <c r="B37" s="75">
        <v>82.172386000000003</v>
      </c>
      <c r="C37" s="75">
        <f t="shared" si="0"/>
        <v>1.6744724924988706E-2</v>
      </c>
      <c r="D37" s="72">
        <v>2043.94</v>
      </c>
      <c r="E37" s="72">
        <v>-5.0735344000000002E-2</v>
      </c>
      <c r="F37" s="72">
        <v>1.8477719999999999E-3</v>
      </c>
      <c r="G37" s="72">
        <f t="shared" si="1"/>
        <v>1.4896952924988707E-2</v>
      </c>
      <c r="H37" s="72">
        <f t="shared" si="2"/>
        <v>-5.2583115999999999E-2</v>
      </c>
    </row>
    <row r="38" spans="1:8">
      <c r="A38" s="73">
        <v>42370</v>
      </c>
      <c r="B38" s="75">
        <v>83.548339999999996</v>
      </c>
      <c r="C38" s="75">
        <f t="shared" si="0"/>
        <v>7.3723068585204565E-3</v>
      </c>
      <c r="D38" s="72">
        <v>1940.24</v>
      </c>
      <c r="E38" s="72">
        <v>-4.1283550000000002E-3</v>
      </c>
      <c r="F38" s="72">
        <v>1.7252019999999999E-3</v>
      </c>
      <c r="G38" s="72">
        <f t="shared" si="1"/>
        <v>5.6471048585204561E-3</v>
      </c>
      <c r="H38" s="72">
        <f t="shared" si="2"/>
        <v>-5.8535570000000006E-3</v>
      </c>
    </row>
    <row r="39" spans="1:8">
      <c r="A39" s="73">
        <v>42401</v>
      </c>
      <c r="B39" s="75">
        <v>84.164283999999995</v>
      </c>
      <c r="C39" s="75">
        <f t="shared" si="0"/>
        <v>3.5872461054857974E-2</v>
      </c>
      <c r="D39" s="72">
        <v>1932.23</v>
      </c>
      <c r="E39" s="72">
        <v>6.5991109000000006E-2</v>
      </c>
      <c r="F39" s="72">
        <v>1.471368E-3</v>
      </c>
      <c r="G39" s="72">
        <f t="shared" si="1"/>
        <v>3.4401093054857973E-2</v>
      </c>
      <c r="H39" s="72">
        <f t="shared" si="2"/>
        <v>6.4519741000000005E-2</v>
      </c>
    </row>
    <row r="40" spans="1:8">
      <c r="A40" s="73">
        <v>42430</v>
      </c>
      <c r="B40" s="75">
        <v>87.183464000000001</v>
      </c>
      <c r="C40" s="75">
        <f t="shared" si="0"/>
        <v>3.5859621269464639E-2</v>
      </c>
      <c r="D40" s="72">
        <v>2059.7399999999998</v>
      </c>
      <c r="E40" s="72">
        <v>2.69937E-3</v>
      </c>
      <c r="F40" s="72">
        <v>1.5615189999999999E-3</v>
      </c>
      <c r="G40" s="72">
        <f t="shared" si="1"/>
        <v>3.4298102269464642E-2</v>
      </c>
      <c r="H40" s="72">
        <f t="shared" si="2"/>
        <v>1.1378510000000001E-3</v>
      </c>
    </row>
    <row r="41" spans="1:8">
      <c r="A41" s="73">
        <v>42461</v>
      </c>
      <c r="B41" s="75">
        <v>90.309830000000005</v>
      </c>
      <c r="C41" s="75">
        <f t="shared" si="0"/>
        <v>5.4423865043262678E-3</v>
      </c>
      <c r="D41" s="72">
        <v>2065.3000000000002</v>
      </c>
      <c r="E41" s="72">
        <v>1.532465E-2</v>
      </c>
      <c r="F41" s="72">
        <v>1.4959629999999999E-3</v>
      </c>
      <c r="G41" s="72">
        <f t="shared" si="1"/>
        <v>3.9464235043262675E-3</v>
      </c>
      <c r="H41" s="72">
        <f t="shared" si="2"/>
        <v>1.3828687000000001E-2</v>
      </c>
    </row>
    <row r="42" spans="1:8">
      <c r="A42" s="73">
        <v>42491</v>
      </c>
      <c r="B42" s="75">
        <v>90.801331000000005</v>
      </c>
      <c r="C42" s="75">
        <f t="shared" si="0"/>
        <v>8.4089229925495224E-2</v>
      </c>
      <c r="D42" s="72">
        <v>2096.9499999999998</v>
      </c>
      <c r="E42" s="72">
        <v>9.10847E-4</v>
      </c>
      <c r="F42" s="72">
        <v>1.4959629999999999E-3</v>
      </c>
      <c r="G42" s="72">
        <f t="shared" si="1"/>
        <v>8.2593266925495221E-2</v>
      </c>
      <c r="H42" s="72">
        <f t="shared" si="2"/>
        <v>-5.8511599999999989E-4</v>
      </c>
    </row>
    <row r="43" spans="1:8">
      <c r="A43" s="73">
        <v>42522</v>
      </c>
      <c r="B43" s="75">
        <v>98.436745000000002</v>
      </c>
      <c r="C43" s="75">
        <f t="shared" si="0"/>
        <v>3.2399415482500887E-2</v>
      </c>
      <c r="D43" s="72">
        <v>2098.86</v>
      </c>
      <c r="E43" s="72">
        <v>3.5609807E-2</v>
      </c>
      <c r="F43" s="72">
        <v>1.3565000000000001E-3</v>
      </c>
      <c r="G43" s="72">
        <f t="shared" si="1"/>
        <v>3.1042915482500887E-2</v>
      </c>
      <c r="H43" s="72">
        <f t="shared" si="2"/>
        <v>3.4253306999999997E-2</v>
      </c>
    </row>
    <row r="44" spans="1:8">
      <c r="A44" s="73">
        <v>42552</v>
      </c>
      <c r="B44" s="75">
        <v>101.62603799999999</v>
      </c>
      <c r="C44" s="75">
        <f t="shared" si="0"/>
        <v>-4.7033526978587786E-2</v>
      </c>
      <c r="D44" s="72">
        <v>2173.6</v>
      </c>
      <c r="E44" s="72">
        <v>-1.219176E-3</v>
      </c>
      <c r="F44" s="72">
        <v>1.241488E-3</v>
      </c>
      <c r="G44" s="72">
        <f t="shared" si="1"/>
        <v>-4.8275014978587785E-2</v>
      </c>
      <c r="H44" s="72">
        <f t="shared" si="2"/>
        <v>-2.460664E-3</v>
      </c>
    </row>
    <row r="45" spans="1:8">
      <c r="A45" s="73">
        <v>42583</v>
      </c>
      <c r="B45" s="75">
        <v>96.846207000000007</v>
      </c>
      <c r="C45" s="75">
        <f t="shared" si="0"/>
        <v>-3.5358121975805137E-3</v>
      </c>
      <c r="D45" s="72">
        <v>2170.9499999999998</v>
      </c>
      <c r="E45" s="72">
        <v>-1.234483E-3</v>
      </c>
      <c r="F45" s="72">
        <v>1.290797E-3</v>
      </c>
      <c r="G45" s="72">
        <f t="shared" si="1"/>
        <v>-4.8266091975805135E-3</v>
      </c>
      <c r="H45" s="72">
        <f t="shared" si="2"/>
        <v>-2.52528E-3</v>
      </c>
    </row>
    <row r="46" spans="1:8">
      <c r="A46" s="73">
        <v>42614</v>
      </c>
      <c r="B46" s="75">
        <v>96.503776999999999</v>
      </c>
      <c r="C46" s="75">
        <f t="shared" si="0"/>
        <v>-1.8115508577451863E-2</v>
      </c>
      <c r="D46" s="72">
        <v>2168.27</v>
      </c>
      <c r="E46" s="72">
        <v>-1.9425624999999998E-2</v>
      </c>
      <c r="F46" s="72">
        <v>1.34829E-3</v>
      </c>
      <c r="G46" s="72">
        <f t="shared" si="1"/>
        <v>-1.9463798577451862E-2</v>
      </c>
      <c r="H46" s="72">
        <f t="shared" si="2"/>
        <v>-2.0773914999999997E-2</v>
      </c>
    </row>
    <row r="47" spans="1:8">
      <c r="A47" s="73">
        <v>42644</v>
      </c>
      <c r="B47" s="75">
        <v>94.755561999999998</v>
      </c>
      <c r="C47" s="75">
        <f t="shared" si="0"/>
        <v>-4.0434470749062694E-2</v>
      </c>
      <c r="D47" s="72">
        <v>2126.15</v>
      </c>
      <c r="E47" s="72">
        <v>3.4174446999999997E-2</v>
      </c>
      <c r="F47" s="72">
        <v>1.4549669999999999E-3</v>
      </c>
      <c r="G47" s="72">
        <f t="shared" si="1"/>
        <v>-4.1889437749062695E-2</v>
      </c>
      <c r="H47" s="72">
        <f t="shared" si="2"/>
        <v>3.2719479999999995E-2</v>
      </c>
    </row>
    <row r="48" spans="1:8">
      <c r="A48" s="73">
        <v>42675</v>
      </c>
      <c r="B48" s="75">
        <v>90.924171000000001</v>
      </c>
      <c r="C48" s="75">
        <f t="shared" si="0"/>
        <v>4.2283135031277917E-2</v>
      </c>
      <c r="D48" s="72">
        <v>2198.81</v>
      </c>
      <c r="E48" s="72">
        <v>1.8200754E-2</v>
      </c>
      <c r="F48" s="72">
        <v>1.766077E-3</v>
      </c>
      <c r="G48" s="72">
        <f t="shared" si="1"/>
        <v>4.0517058031277919E-2</v>
      </c>
      <c r="H48" s="72">
        <f t="shared" si="2"/>
        <v>1.6434676999999998E-2</v>
      </c>
    </row>
    <row r="49" spans="1:8">
      <c r="A49" s="73">
        <v>42705</v>
      </c>
      <c r="B49" s="75">
        <v>94.768730000000005</v>
      </c>
      <c r="C49" s="75">
        <f t="shared" si="0"/>
        <v>-1.7012478694185311E-2</v>
      </c>
      <c r="D49" s="72">
        <v>2238.83</v>
      </c>
      <c r="E49" s="72">
        <v>1.7884341000000002E-2</v>
      </c>
      <c r="F49" s="72">
        <v>2.0516890000000002E-3</v>
      </c>
      <c r="G49" s="72">
        <f t="shared" si="1"/>
        <v>-1.906416769418531E-2</v>
      </c>
      <c r="H49" s="72">
        <f t="shared" si="2"/>
        <v>1.5832652000000003E-2</v>
      </c>
    </row>
    <row r="50" spans="1:8">
      <c r="A50" s="73">
        <v>42736</v>
      </c>
      <c r="B50" s="75">
        <v>93.156479000000004</v>
      </c>
      <c r="C50" s="75">
        <f t="shared" si="0"/>
        <v>7.9117417050509176E-2</v>
      </c>
      <c r="D50" s="72">
        <v>2278.87</v>
      </c>
      <c r="E50" s="72">
        <v>3.7198261000000003E-2</v>
      </c>
      <c r="F50" s="72">
        <v>2.0027909999999999E-3</v>
      </c>
      <c r="G50" s="72">
        <f t="shared" si="1"/>
        <v>7.7114626050509172E-2</v>
      </c>
      <c r="H50" s="72">
        <f t="shared" si="2"/>
        <v>3.5195470000000006E-2</v>
      </c>
    </row>
    <row r="51" spans="1:8">
      <c r="A51" s="73">
        <v>42767</v>
      </c>
      <c r="B51" s="75">
        <v>100.526779</v>
      </c>
      <c r="C51" s="75">
        <f t="shared" si="0"/>
        <v>2.5890912112085017E-2</v>
      </c>
      <c r="D51" s="72">
        <v>2363.64</v>
      </c>
      <c r="E51" s="72">
        <v>-3.8923000000000001E-4</v>
      </c>
      <c r="F51" s="72">
        <v>1.994638E-3</v>
      </c>
      <c r="G51" s="72">
        <f t="shared" si="1"/>
        <v>2.3896274112085017E-2</v>
      </c>
      <c r="H51" s="72">
        <f t="shared" si="2"/>
        <v>-2.3838679999999999E-3</v>
      </c>
    </row>
    <row r="52" spans="1:8">
      <c r="A52" s="73">
        <v>42795</v>
      </c>
      <c r="B52" s="75">
        <v>103.129509</v>
      </c>
      <c r="C52" s="75">
        <f t="shared" si="0"/>
        <v>-8.6712038937371075E-3</v>
      </c>
      <c r="D52" s="72">
        <v>2362.7199999999998</v>
      </c>
      <c r="E52" s="72">
        <v>9.0912170000000004E-3</v>
      </c>
      <c r="F52" s="72">
        <v>2.0435409999999998E-3</v>
      </c>
      <c r="G52" s="72">
        <f t="shared" si="1"/>
        <v>-1.0714744893737107E-2</v>
      </c>
      <c r="H52" s="72">
        <f t="shared" si="2"/>
        <v>7.047676000000001E-3</v>
      </c>
    </row>
    <row r="53" spans="1:8">
      <c r="A53" s="73">
        <v>42826</v>
      </c>
      <c r="B53" s="75">
        <v>102.235252</v>
      </c>
      <c r="C53" s="75">
        <f t="shared" si="0"/>
        <v>3.8713887065099532E-2</v>
      </c>
      <c r="D53" s="72">
        <v>2384.1999999999998</v>
      </c>
      <c r="E53" s="72">
        <v>1.157621E-2</v>
      </c>
      <c r="F53" s="72">
        <v>1.798764E-3</v>
      </c>
      <c r="G53" s="72">
        <f t="shared" si="1"/>
        <v>3.6915123065099531E-2</v>
      </c>
      <c r="H53" s="72">
        <f t="shared" si="2"/>
        <v>9.7774460000000004E-3</v>
      </c>
    </row>
    <row r="54" spans="1:8">
      <c r="A54" s="73">
        <v>42856</v>
      </c>
      <c r="B54" s="75">
        <v>106.19317599999999</v>
      </c>
      <c r="C54" s="75">
        <f t="shared" si="0"/>
        <v>3.8341183053042911E-2</v>
      </c>
      <c r="D54" s="72">
        <v>2411.8000000000002</v>
      </c>
      <c r="E54" s="72">
        <v>4.8138319999999997E-3</v>
      </c>
      <c r="F54" s="72">
        <v>1.8967540000000001E-3</v>
      </c>
      <c r="G54" s="72">
        <f t="shared" si="1"/>
        <v>3.6444429053042911E-2</v>
      </c>
      <c r="H54" s="72">
        <f t="shared" si="2"/>
        <v>2.9170779999999996E-3</v>
      </c>
    </row>
    <row r="55" spans="1:8">
      <c r="A55" s="73">
        <v>42887</v>
      </c>
      <c r="B55" s="75">
        <v>110.264748</v>
      </c>
      <c r="C55" s="75">
        <f t="shared" si="0"/>
        <v>3.2502681636745771E-3</v>
      </c>
      <c r="D55" s="72">
        <v>2423.41</v>
      </c>
      <c r="E55" s="72">
        <v>1.9348768999999998E-2</v>
      </c>
      <c r="F55" s="72">
        <v>1.8069340000000001E-3</v>
      </c>
      <c r="G55" s="72">
        <f t="shared" si="1"/>
        <v>1.443334163674577E-3</v>
      </c>
      <c r="H55" s="72">
        <f t="shared" si="2"/>
        <v>1.7541834999999999E-2</v>
      </c>
    </row>
    <row r="56" spans="1:8">
      <c r="A56" s="73">
        <v>42917</v>
      </c>
      <c r="B56" s="75">
        <v>110.623138</v>
      </c>
      <c r="C56" s="75">
        <f t="shared" si="0"/>
        <v>-2.637106533716297E-3</v>
      </c>
      <c r="D56" s="72">
        <v>2470.3000000000002</v>
      </c>
      <c r="E56" s="72">
        <v>5.4649199999999998E-4</v>
      </c>
      <c r="F56" s="72">
        <v>1.913075E-3</v>
      </c>
      <c r="G56" s="72">
        <f t="shared" si="1"/>
        <v>-4.5501815337162972E-3</v>
      </c>
      <c r="H56" s="72">
        <f t="shared" si="2"/>
        <v>-1.366583E-3</v>
      </c>
    </row>
    <row r="57" spans="1:8">
      <c r="A57" s="73">
        <v>42948</v>
      </c>
      <c r="B57" s="75">
        <v>110.331413</v>
      </c>
      <c r="C57" s="75">
        <f t="shared" si="0"/>
        <v>-1.1580582222761806E-2</v>
      </c>
      <c r="D57" s="72">
        <v>2471.65</v>
      </c>
      <c r="E57" s="72">
        <v>1.9302895E-2</v>
      </c>
      <c r="F57" s="72">
        <v>1.823271E-3</v>
      </c>
      <c r="G57" s="72">
        <f t="shared" si="1"/>
        <v>-1.3403853222761806E-2</v>
      </c>
      <c r="H57" s="72">
        <f t="shared" si="2"/>
        <v>1.7479623999999999E-2</v>
      </c>
    </row>
    <row r="58" spans="1:8">
      <c r="A58" s="73">
        <v>42979</v>
      </c>
      <c r="B58" s="75">
        <v>109.05371100000001</v>
      </c>
      <c r="C58" s="75">
        <f t="shared" si="0"/>
        <v>7.2301601914307984E-2</v>
      </c>
      <c r="D58" s="72">
        <v>2519.36</v>
      </c>
      <c r="E58" s="72">
        <v>2.2188175000000001E-2</v>
      </c>
      <c r="F58" s="72">
        <v>1.815103E-3</v>
      </c>
      <c r="G58" s="72">
        <f t="shared" si="1"/>
        <v>7.0486498914307985E-2</v>
      </c>
      <c r="H58" s="72">
        <f t="shared" si="2"/>
        <v>2.0373072000000002E-2</v>
      </c>
    </row>
    <row r="59" spans="1:8">
      <c r="A59" s="73">
        <v>43009</v>
      </c>
      <c r="B59" s="75">
        <v>116.938469</v>
      </c>
      <c r="C59" s="75">
        <f t="shared" si="0"/>
        <v>-5.7342122377193356E-4</v>
      </c>
      <c r="D59" s="72">
        <v>2575.2600000000002</v>
      </c>
      <c r="E59" s="72">
        <v>2.8082600999999999E-2</v>
      </c>
      <c r="F59" s="72">
        <v>1.9457089999999999E-3</v>
      </c>
      <c r="G59" s="72">
        <f t="shared" si="1"/>
        <v>-2.5191302237719333E-3</v>
      </c>
      <c r="H59" s="72">
        <f t="shared" si="2"/>
        <v>2.6136891999999998E-2</v>
      </c>
    </row>
    <row r="60" spans="1:8">
      <c r="A60" s="73">
        <v>43040</v>
      </c>
      <c r="B60" s="75">
        <v>116.871414</v>
      </c>
      <c r="C60" s="75">
        <f t="shared" si="0"/>
        <v>8.939936330367269E-3</v>
      </c>
      <c r="D60" s="72">
        <v>2647.58</v>
      </c>
      <c r="E60" s="72">
        <v>9.8316199999999992E-3</v>
      </c>
      <c r="F60" s="72">
        <v>1.9375519999999999E-3</v>
      </c>
      <c r="G60" s="72">
        <f t="shared" si="1"/>
        <v>7.0023843303672686E-3</v>
      </c>
      <c r="H60" s="72">
        <f t="shared" si="2"/>
        <v>7.8940679999999989E-3</v>
      </c>
    </row>
    <row r="61" spans="1:8">
      <c r="A61" s="73">
        <v>43070</v>
      </c>
      <c r="B61" s="75">
        <v>117.916237</v>
      </c>
      <c r="C61" s="75">
        <f t="shared" si="0"/>
        <v>-1.0950527534218968E-2</v>
      </c>
      <c r="D61" s="72">
        <v>2673.61</v>
      </c>
      <c r="E61" s="72">
        <v>5.6178724999999999E-2</v>
      </c>
      <c r="F61" s="72">
        <v>1.9783320000000002E-3</v>
      </c>
      <c r="G61" s="72">
        <f t="shared" si="1"/>
        <v>-1.2928859534218969E-2</v>
      </c>
      <c r="H61" s="72">
        <f t="shared" si="2"/>
        <v>5.4200392999999999E-2</v>
      </c>
    </row>
    <row r="62" spans="1:8">
      <c r="A62" s="73">
        <v>43101</v>
      </c>
      <c r="B62" s="75">
        <v>116.62499200000001</v>
      </c>
      <c r="C62" s="75">
        <f t="shared" si="0"/>
        <v>-6.0134803696278077E-2</v>
      </c>
      <c r="D62" s="72">
        <v>2823.81</v>
      </c>
      <c r="E62" s="72">
        <v>-3.8947379999999997E-2</v>
      </c>
      <c r="F62" s="72">
        <v>2.124988E-3</v>
      </c>
      <c r="G62" s="72">
        <f t="shared" si="1"/>
        <v>-6.2259791696278079E-2</v>
      </c>
      <c r="H62" s="72">
        <f t="shared" si="2"/>
        <v>-4.1072367999999998E-2</v>
      </c>
    </row>
    <row r="63" spans="1:8">
      <c r="A63" s="73">
        <v>43132</v>
      </c>
      <c r="B63" s="75">
        <v>109.611771</v>
      </c>
      <c r="C63" s="75">
        <f t="shared" si="0"/>
        <v>-7.0015837988787709E-3</v>
      </c>
      <c r="D63" s="72">
        <v>2713.83</v>
      </c>
      <c r="E63" s="72">
        <v>-2.6884514000000002E-2</v>
      </c>
      <c r="F63" s="72">
        <v>2.3526509999999999E-3</v>
      </c>
      <c r="G63" s="72">
        <f t="shared" si="1"/>
        <v>-9.3542347988787716E-3</v>
      </c>
      <c r="H63" s="72">
        <f t="shared" si="2"/>
        <v>-2.9237165000000002E-2</v>
      </c>
    </row>
    <row r="64" spans="1:8">
      <c r="A64" s="73">
        <v>43160</v>
      </c>
      <c r="B64" s="75">
        <v>108.84431499999999</v>
      </c>
      <c r="C64" s="75">
        <f t="shared" si="0"/>
        <v>-1.2953483147006704E-2</v>
      </c>
      <c r="D64" s="72">
        <v>2640.87</v>
      </c>
      <c r="E64" s="72">
        <v>2.7188009999999999E-3</v>
      </c>
      <c r="F64" s="72">
        <v>2.3364079999999999E-3</v>
      </c>
      <c r="G64" s="72">
        <f t="shared" si="1"/>
        <v>-1.5289891147006704E-2</v>
      </c>
      <c r="H64" s="72">
        <f t="shared" si="2"/>
        <v>3.8239299999999997E-4</v>
      </c>
    </row>
    <row r="65" spans="1:8">
      <c r="A65" s="73">
        <v>43191</v>
      </c>
      <c r="B65" s="75">
        <v>107.43440200000001</v>
      </c>
      <c r="C65" s="75">
        <f t="shared" si="0"/>
        <v>-5.4312695853233346E-2</v>
      </c>
      <c r="D65" s="72">
        <v>2648.05</v>
      </c>
      <c r="E65" s="72">
        <v>2.1608353E-2</v>
      </c>
      <c r="F65" s="72">
        <v>2.3607709999999998E-3</v>
      </c>
      <c r="G65" s="72">
        <f t="shared" si="1"/>
        <v>-5.6673466853233344E-2</v>
      </c>
      <c r="H65" s="72">
        <f t="shared" si="2"/>
        <v>1.9247581999999999E-2</v>
      </c>
    </row>
    <row r="66" spans="1:8">
      <c r="A66" s="73">
        <v>43221</v>
      </c>
      <c r="B66" s="75">
        <v>101.59935</v>
      </c>
      <c r="C66" s="75">
        <f t="shared" si="0"/>
        <v>2.1901980672120479E-2</v>
      </c>
      <c r="D66" s="72">
        <v>2705.27</v>
      </c>
      <c r="E66" s="72">
        <v>4.8424000000000002E-3</v>
      </c>
      <c r="F66" s="72">
        <v>2.4500469999999999E-3</v>
      </c>
      <c r="G66" s="72">
        <f t="shared" si="1"/>
        <v>1.9451933672120478E-2</v>
      </c>
      <c r="H66" s="72">
        <f t="shared" si="2"/>
        <v>2.3923530000000003E-3</v>
      </c>
    </row>
    <row r="67" spans="1:8">
      <c r="A67" s="73">
        <v>43252</v>
      </c>
      <c r="B67" s="75">
        <v>103.82457700000001</v>
      </c>
      <c r="C67" s="75">
        <f t="shared" ref="C67:C130" si="3">(B68-B67)/B67</f>
        <v>9.2137673722475111E-2</v>
      </c>
      <c r="D67" s="72">
        <v>2718.37</v>
      </c>
      <c r="E67" s="72">
        <v>3.6021586000000001E-2</v>
      </c>
      <c r="F67" s="72">
        <v>2.393245E-3</v>
      </c>
      <c r="G67" s="72">
        <f t="shared" ref="G67:G130" si="4">C67-F67</f>
        <v>8.9744428722475109E-2</v>
      </c>
      <c r="H67" s="72">
        <f t="shared" ref="H67:H130" si="5">E67-F67</f>
        <v>3.3628340999999999E-2</v>
      </c>
    </row>
    <row r="68" spans="1:8">
      <c r="A68" s="73">
        <v>43282</v>
      </c>
      <c r="B68" s="75">
        <v>113.390732</v>
      </c>
      <c r="C68" s="75">
        <f t="shared" si="3"/>
        <v>1.6375130200235365E-2</v>
      </c>
      <c r="D68" s="72">
        <v>2816.29</v>
      </c>
      <c r="E68" s="72">
        <v>3.0263219000000001E-2</v>
      </c>
      <c r="F68" s="72">
        <v>2.3770100000000001E-3</v>
      </c>
      <c r="G68" s="72">
        <f t="shared" si="4"/>
        <v>1.3998120200235364E-2</v>
      </c>
      <c r="H68" s="72">
        <f t="shared" si="5"/>
        <v>2.7886209000000002E-2</v>
      </c>
    </row>
    <row r="69" spans="1:8">
      <c r="A69" s="73">
        <v>43313</v>
      </c>
      <c r="B69" s="75">
        <v>115.24751999999999</v>
      </c>
      <c r="C69" s="75">
        <f t="shared" si="3"/>
        <v>3.2673249715048133E-2</v>
      </c>
      <c r="D69" s="72">
        <v>2901.52</v>
      </c>
      <c r="E69" s="72">
        <v>4.2943010000000004E-3</v>
      </c>
      <c r="F69" s="72">
        <v>2.3770100000000001E-3</v>
      </c>
      <c r="G69" s="72">
        <f t="shared" si="4"/>
        <v>3.0296239715048134E-2</v>
      </c>
      <c r="H69" s="72">
        <f t="shared" si="5"/>
        <v>1.9172910000000002E-3</v>
      </c>
    </row>
    <row r="70" spans="1:8">
      <c r="A70" s="73">
        <v>43344</v>
      </c>
      <c r="B70" s="75">
        <v>119.013031</v>
      </c>
      <c r="C70" s="75">
        <f t="shared" si="3"/>
        <v>1.3172213049510563E-2</v>
      </c>
      <c r="D70" s="72">
        <v>2913.98</v>
      </c>
      <c r="E70" s="72">
        <v>-6.9403358999999998E-2</v>
      </c>
      <c r="F70" s="72">
        <v>2.46627E-3</v>
      </c>
      <c r="G70" s="72">
        <f t="shared" si="4"/>
        <v>1.0705943049510563E-2</v>
      </c>
      <c r="H70" s="72">
        <f t="shared" si="5"/>
        <v>-7.1869629000000004E-2</v>
      </c>
    </row>
    <row r="71" spans="1:8">
      <c r="A71" s="73">
        <v>43374</v>
      </c>
      <c r="B71" s="75">
        <v>120.580696</v>
      </c>
      <c r="C71" s="75">
        <f t="shared" si="3"/>
        <v>4.9360844624748233E-2</v>
      </c>
      <c r="D71" s="72">
        <v>2711.74</v>
      </c>
      <c r="E71" s="72">
        <v>1.7859382E-2</v>
      </c>
      <c r="F71" s="72">
        <v>2.5878469999999999E-3</v>
      </c>
      <c r="G71" s="72">
        <f t="shared" si="4"/>
        <v>4.6772997624748236E-2</v>
      </c>
      <c r="H71" s="72">
        <f t="shared" si="5"/>
        <v>1.5271534999999999E-2</v>
      </c>
    </row>
    <row r="72" spans="1:8">
      <c r="A72" s="73">
        <v>43405</v>
      </c>
      <c r="B72" s="75">
        <v>126.532661</v>
      </c>
      <c r="C72" s="75">
        <f t="shared" si="3"/>
        <v>-0.11591696471158541</v>
      </c>
      <c r="D72" s="72">
        <v>2760.17</v>
      </c>
      <c r="E72" s="72">
        <v>-9.1776956000000007E-2</v>
      </c>
      <c r="F72" s="72">
        <v>2.563545E-3</v>
      </c>
      <c r="G72" s="72">
        <f t="shared" si="4"/>
        <v>-0.11848050971158541</v>
      </c>
      <c r="H72" s="72">
        <f t="shared" si="5"/>
        <v>-9.4340501000000007E-2</v>
      </c>
    </row>
    <row r="73" spans="1:8">
      <c r="A73" s="73">
        <v>43435</v>
      </c>
      <c r="B73" s="75">
        <v>111.865379</v>
      </c>
      <c r="C73" s="75">
        <f t="shared" si="3"/>
        <v>3.1228142533714542E-2</v>
      </c>
      <c r="D73" s="72">
        <v>2506.85</v>
      </c>
      <c r="E73" s="72">
        <v>7.8684404999999999E-2</v>
      </c>
      <c r="F73" s="72">
        <v>2.3282860000000002E-3</v>
      </c>
      <c r="G73" s="72">
        <f t="shared" si="4"/>
        <v>2.8899856533714543E-2</v>
      </c>
      <c r="H73" s="72">
        <f t="shared" si="5"/>
        <v>7.6356119E-2</v>
      </c>
    </row>
    <row r="74" spans="1:8">
      <c r="A74" s="73">
        <v>43466</v>
      </c>
      <c r="B74" s="75">
        <v>115.358727</v>
      </c>
      <c r="C74" s="75">
        <f t="shared" si="3"/>
        <v>2.6750919330099678E-2</v>
      </c>
      <c r="D74" s="72">
        <v>2704.1</v>
      </c>
      <c r="E74" s="72">
        <v>2.9728930000000001E-2</v>
      </c>
      <c r="F74" s="72">
        <v>2.2307590000000001E-3</v>
      </c>
      <c r="G74" s="72">
        <f t="shared" si="4"/>
        <v>2.4520160330099679E-2</v>
      </c>
      <c r="H74" s="72">
        <f t="shared" si="5"/>
        <v>2.7498171000000002E-2</v>
      </c>
    </row>
    <row r="75" spans="1:8">
      <c r="A75" s="73">
        <v>43497</v>
      </c>
      <c r="B75" s="75">
        <v>118.44467899999999</v>
      </c>
      <c r="C75" s="75">
        <f t="shared" si="3"/>
        <v>2.9838301136347379E-2</v>
      </c>
      <c r="D75" s="72">
        <v>2784.49</v>
      </c>
      <c r="E75" s="72">
        <v>1.7924288E-2</v>
      </c>
      <c r="F75" s="72">
        <v>2.206361E-3</v>
      </c>
      <c r="G75" s="72">
        <f t="shared" si="4"/>
        <v>2.7631940136347379E-2</v>
      </c>
      <c r="H75" s="72">
        <f t="shared" si="5"/>
        <v>1.5717927E-2</v>
      </c>
    </row>
    <row r="76" spans="1:8">
      <c r="A76" s="73">
        <v>43525</v>
      </c>
      <c r="B76" s="75">
        <v>121.97886699999999</v>
      </c>
      <c r="C76" s="75">
        <f t="shared" si="3"/>
        <v>1.0086681654454125E-2</v>
      </c>
      <c r="D76" s="72">
        <v>2834.4</v>
      </c>
      <c r="E76" s="72">
        <v>3.9313435000000001E-2</v>
      </c>
      <c r="F76" s="72">
        <v>2.1168459999999999E-3</v>
      </c>
      <c r="G76" s="72">
        <f t="shared" si="4"/>
        <v>7.9698356544541243E-3</v>
      </c>
      <c r="H76" s="72">
        <f t="shared" si="5"/>
        <v>3.7196589000000002E-2</v>
      </c>
    </row>
    <row r="77" spans="1:8">
      <c r="A77" s="73">
        <v>43556</v>
      </c>
      <c r="B77" s="75">
        <v>123.20922899999999</v>
      </c>
      <c r="C77" s="75">
        <f t="shared" si="3"/>
        <v>-7.1175682789152039E-2</v>
      </c>
      <c r="D77" s="72">
        <v>2945.83</v>
      </c>
      <c r="E77" s="72">
        <v>-6.5777725999999995E-2</v>
      </c>
      <c r="F77" s="72">
        <v>2.0842730000000002E-3</v>
      </c>
      <c r="G77" s="72">
        <f t="shared" si="4"/>
        <v>-7.3259955789152037E-2</v>
      </c>
      <c r="H77" s="72">
        <f t="shared" si="5"/>
        <v>-6.7861998999999992E-2</v>
      </c>
    </row>
    <row r="78" spans="1:8">
      <c r="A78" s="73">
        <v>43586</v>
      </c>
      <c r="B78" s="75">
        <v>114.439728</v>
      </c>
      <c r="C78" s="75">
        <f t="shared" si="3"/>
        <v>6.9256849334699597E-2</v>
      </c>
      <c r="D78" s="72">
        <v>2752.06</v>
      </c>
      <c r="E78" s="72">
        <v>6.8930183000000006E-2</v>
      </c>
      <c r="F78" s="72">
        <v>1.970177E-3</v>
      </c>
      <c r="G78" s="72">
        <f t="shared" si="4"/>
        <v>6.7286672334699593E-2</v>
      </c>
      <c r="H78" s="72">
        <f t="shared" si="5"/>
        <v>6.6960006000000002E-2</v>
      </c>
    </row>
    <row r="79" spans="1:8">
      <c r="A79" s="73">
        <v>43617</v>
      </c>
      <c r="B79" s="75">
        <v>122.36546300000001</v>
      </c>
      <c r="C79" s="75">
        <f t="shared" si="3"/>
        <v>-6.5048967289078996E-2</v>
      </c>
      <c r="D79" s="72">
        <v>2941.76</v>
      </c>
      <c r="E79" s="72">
        <v>1.3128195E-2</v>
      </c>
      <c r="F79" s="72">
        <v>1.7088470000000001E-3</v>
      </c>
      <c r="G79" s="72">
        <f t="shared" si="4"/>
        <v>-6.6757814289078996E-2</v>
      </c>
      <c r="H79" s="72">
        <f t="shared" si="5"/>
        <v>1.1419348000000001E-2</v>
      </c>
    </row>
    <row r="80" spans="1:8">
      <c r="A80" s="73">
        <v>43647</v>
      </c>
      <c r="B80" s="75">
        <v>114.405716</v>
      </c>
      <c r="C80" s="75">
        <f t="shared" si="3"/>
        <v>-1.4283595760197833E-2</v>
      </c>
      <c r="D80" s="72">
        <v>2980.38</v>
      </c>
      <c r="E80" s="72">
        <v>-1.8091652999999999E-2</v>
      </c>
      <c r="F80" s="72">
        <v>1.7006689999999999E-3</v>
      </c>
      <c r="G80" s="72">
        <f t="shared" si="4"/>
        <v>-1.5984264760197833E-2</v>
      </c>
      <c r="H80" s="72">
        <f t="shared" si="5"/>
        <v>-1.9792321999999998E-2</v>
      </c>
    </row>
    <row r="81" spans="1:8">
      <c r="A81" s="73">
        <v>43678</v>
      </c>
      <c r="B81" s="75">
        <v>112.771591</v>
      </c>
      <c r="C81" s="75">
        <f t="shared" si="3"/>
        <v>1.5499488696581361E-2</v>
      </c>
      <c r="D81" s="72">
        <v>2926.46</v>
      </c>
      <c r="E81" s="72">
        <v>1.7181168E-2</v>
      </c>
      <c r="F81" s="72">
        <v>1.34829E-3</v>
      </c>
      <c r="G81" s="72">
        <f t="shared" si="4"/>
        <v>1.4151198696581361E-2</v>
      </c>
      <c r="H81" s="72">
        <f t="shared" si="5"/>
        <v>1.5832878000000002E-2</v>
      </c>
    </row>
    <row r="82" spans="1:8">
      <c r="A82" s="73">
        <v>43709</v>
      </c>
      <c r="B82" s="75">
        <v>114.519493</v>
      </c>
      <c r="C82" s="75">
        <f t="shared" si="3"/>
        <v>2.0559486759166828E-2</v>
      </c>
      <c r="D82" s="72">
        <v>2976.74</v>
      </c>
      <c r="E82" s="72">
        <v>2.0431747E-2</v>
      </c>
      <c r="F82" s="72">
        <v>1.4057469999999999E-3</v>
      </c>
      <c r="G82" s="72">
        <f t="shared" si="4"/>
        <v>1.915373975916683E-2</v>
      </c>
      <c r="H82" s="72">
        <f t="shared" si="5"/>
        <v>1.9026000000000001E-2</v>
      </c>
    </row>
    <row r="83" spans="1:8">
      <c r="A83" s="73">
        <v>43739</v>
      </c>
      <c r="B83" s="75">
        <v>116.873955</v>
      </c>
      <c r="C83" s="75">
        <f t="shared" si="3"/>
        <v>4.1275346590264772E-2</v>
      </c>
      <c r="D83" s="72">
        <v>3037.56</v>
      </c>
      <c r="E83" s="72">
        <v>3.4047064000000002E-2</v>
      </c>
      <c r="F83" s="72">
        <v>1.413952E-3</v>
      </c>
      <c r="G83" s="72">
        <f t="shared" si="4"/>
        <v>3.9861394590264769E-2</v>
      </c>
      <c r="H83" s="72">
        <f t="shared" si="5"/>
        <v>3.2633111999999999E-2</v>
      </c>
    </row>
    <row r="84" spans="1:8">
      <c r="A84" s="73">
        <v>43770</v>
      </c>
      <c r="B84" s="75">
        <v>121.697968</v>
      </c>
      <c r="C84" s="75">
        <f t="shared" si="3"/>
        <v>6.8300458393849267E-2</v>
      </c>
      <c r="D84" s="72">
        <v>3140.98</v>
      </c>
      <c r="E84" s="72">
        <v>2.8589803E-2</v>
      </c>
      <c r="F84" s="72">
        <v>1.4959629999999999E-3</v>
      </c>
      <c r="G84" s="72">
        <f t="shared" si="4"/>
        <v>6.6804495393849264E-2</v>
      </c>
      <c r="H84" s="72">
        <f t="shared" si="5"/>
        <v>2.7093840000000001E-2</v>
      </c>
    </row>
    <row r="85" spans="1:8">
      <c r="A85" s="73">
        <v>43800</v>
      </c>
      <c r="B85" s="75">
        <v>130.009995</v>
      </c>
      <c r="C85" s="75">
        <f t="shared" si="3"/>
        <v>2.0566088015002287E-2</v>
      </c>
      <c r="D85" s="72">
        <v>3230.78</v>
      </c>
      <c r="E85" s="72">
        <v>-1.62809E-3</v>
      </c>
      <c r="F85" s="72">
        <v>1.536941E-3</v>
      </c>
      <c r="G85" s="72">
        <f t="shared" si="4"/>
        <v>1.9029147015002287E-2</v>
      </c>
      <c r="H85" s="72">
        <f t="shared" si="5"/>
        <v>-3.165031E-3</v>
      </c>
    </row>
    <row r="86" spans="1:8">
      <c r="A86" s="73">
        <v>43831</v>
      </c>
      <c r="B86" s="75">
        <v>132.68379200000001</v>
      </c>
      <c r="C86" s="75">
        <f t="shared" si="3"/>
        <v>-9.6661572650863128E-2</v>
      </c>
      <c r="D86" s="72">
        <v>3225.52</v>
      </c>
      <c r="E86" s="72">
        <v>-8.4110468999999993E-2</v>
      </c>
      <c r="F86" s="72">
        <v>1.4549669999999999E-3</v>
      </c>
      <c r="G86" s="72">
        <f t="shared" si="4"/>
        <v>-9.811653965086313E-2</v>
      </c>
      <c r="H86" s="72">
        <f t="shared" si="5"/>
        <v>-8.5565435999999995E-2</v>
      </c>
    </row>
    <row r="87" spans="1:8">
      <c r="A87" s="73">
        <v>43862</v>
      </c>
      <c r="B87" s="75">
        <v>119.858368</v>
      </c>
      <c r="C87" s="75">
        <f t="shared" si="3"/>
        <v>-1.8692720728518457E-2</v>
      </c>
      <c r="D87" s="72">
        <v>2954.22</v>
      </c>
      <c r="E87" s="72">
        <v>-0.12511932100000001</v>
      </c>
      <c r="F87" s="72">
        <v>1.241488E-3</v>
      </c>
      <c r="G87" s="72">
        <f t="shared" si="4"/>
        <v>-1.9934208728518456E-2</v>
      </c>
      <c r="H87" s="72">
        <f t="shared" si="5"/>
        <v>-0.12636080900000002</v>
      </c>
    </row>
    <row r="88" spans="1:8">
      <c r="A88" s="73">
        <v>43891</v>
      </c>
      <c r="B88" s="75">
        <v>117.61788900000001</v>
      </c>
      <c r="C88" s="75">
        <f t="shared" si="3"/>
        <v>0.14420787640560359</v>
      </c>
      <c r="D88" s="72">
        <v>2584.59</v>
      </c>
      <c r="E88" s="72">
        <v>0.12684410300000001</v>
      </c>
      <c r="F88" s="72">
        <v>7.22125E-4</v>
      </c>
      <c r="G88" s="72">
        <f t="shared" si="4"/>
        <v>0.1434857514056036</v>
      </c>
      <c r="H88" s="72">
        <f t="shared" si="5"/>
        <v>0.12612197800000002</v>
      </c>
    </row>
    <row r="89" spans="1:8">
      <c r="A89" s="73">
        <v>43922</v>
      </c>
      <c r="B89" s="75">
        <v>134.57931500000001</v>
      </c>
      <c r="C89" s="75">
        <f t="shared" si="3"/>
        <v>-8.5974802294098152E-3</v>
      </c>
      <c r="D89" s="72">
        <v>2912.43</v>
      </c>
      <c r="E89" s="72">
        <v>4.5281775000000003E-2</v>
      </c>
      <c r="F89" s="72">
        <v>5.4834299999999996E-4</v>
      </c>
      <c r="G89" s="72">
        <f t="shared" si="4"/>
        <v>-9.1458232294098149E-3</v>
      </c>
      <c r="H89" s="72">
        <f t="shared" si="5"/>
        <v>4.4733432000000004E-2</v>
      </c>
    </row>
    <row r="90" spans="1:8">
      <c r="A90" s="73">
        <v>43952</v>
      </c>
      <c r="B90" s="75">
        <v>133.42227199999999</v>
      </c>
      <c r="C90" s="75">
        <f t="shared" si="3"/>
        <v>-4.8034746402759433E-2</v>
      </c>
      <c r="D90" s="72">
        <v>3044.31</v>
      </c>
      <c r="E90" s="72">
        <v>1.8388403000000001E-2</v>
      </c>
      <c r="F90" s="72">
        <v>5.5662599999999995E-4</v>
      </c>
      <c r="G90" s="72">
        <f t="shared" si="4"/>
        <v>-4.8591372402759431E-2</v>
      </c>
      <c r="H90" s="72">
        <f t="shared" si="5"/>
        <v>1.7831777E-2</v>
      </c>
    </row>
    <row r="91" spans="1:8">
      <c r="A91" s="73">
        <v>43983</v>
      </c>
      <c r="B91" s="75">
        <v>127.013367</v>
      </c>
      <c r="C91" s="75">
        <f t="shared" si="3"/>
        <v>3.64787195980718E-2</v>
      </c>
      <c r="D91" s="72">
        <v>3100.29</v>
      </c>
      <c r="E91" s="72">
        <v>5.5101297E-2</v>
      </c>
      <c r="F91" s="72">
        <v>6.0630700000000005E-4</v>
      </c>
      <c r="G91" s="72">
        <f t="shared" si="4"/>
        <v>3.58724125980718E-2</v>
      </c>
      <c r="H91" s="72">
        <f t="shared" si="5"/>
        <v>5.449499E-2</v>
      </c>
    </row>
    <row r="92" spans="1:8">
      <c r="A92" s="73">
        <v>44013</v>
      </c>
      <c r="B92" s="75">
        <v>131.64665199999999</v>
      </c>
      <c r="C92" s="75">
        <f t="shared" si="3"/>
        <v>5.2483575503310231E-2</v>
      </c>
      <c r="D92" s="72">
        <v>3271.12</v>
      </c>
      <c r="E92" s="72">
        <v>7.0064687E-2</v>
      </c>
      <c r="F92" s="72">
        <v>5.1520400000000001E-4</v>
      </c>
      <c r="G92" s="72">
        <f t="shared" si="4"/>
        <v>5.1968371503310233E-2</v>
      </c>
      <c r="H92" s="72">
        <f t="shared" si="5"/>
        <v>6.9549482999999995E-2</v>
      </c>
    </row>
    <row r="93" spans="1:8">
      <c r="A93" s="73">
        <v>44044</v>
      </c>
      <c r="B93" s="75">
        <v>138.555939</v>
      </c>
      <c r="C93" s="75">
        <f t="shared" si="3"/>
        <v>-2.306957769598025E-2</v>
      </c>
      <c r="D93" s="72">
        <v>3500.31</v>
      </c>
      <c r="E93" s="72">
        <v>-3.9227954000000002E-2</v>
      </c>
      <c r="F93" s="72">
        <v>5.4005999999999998E-4</v>
      </c>
      <c r="G93" s="72">
        <f t="shared" si="4"/>
        <v>-2.3609637695980248E-2</v>
      </c>
      <c r="H93" s="72">
        <f t="shared" si="5"/>
        <v>-3.9768014000000004E-2</v>
      </c>
    </row>
    <row r="94" spans="1:8">
      <c r="A94" s="73">
        <v>44075</v>
      </c>
      <c r="B94" s="75">
        <v>135.359512</v>
      </c>
      <c r="C94" s="75">
        <f t="shared" si="3"/>
        <v>-7.9056956115503715E-2</v>
      </c>
      <c r="D94" s="72">
        <v>3363</v>
      </c>
      <c r="E94" s="72">
        <v>-2.7665775E-2</v>
      </c>
      <c r="F94" s="72">
        <v>5.6490800000000003E-4</v>
      </c>
      <c r="G94" s="72">
        <f t="shared" si="4"/>
        <v>-7.9621864115503718E-2</v>
      </c>
      <c r="H94" s="72">
        <f t="shared" si="5"/>
        <v>-2.8230682999999999E-2</v>
      </c>
    </row>
    <row r="95" spans="1:8">
      <c r="A95" s="73">
        <v>44105</v>
      </c>
      <c r="B95" s="75">
        <v>124.658401</v>
      </c>
      <c r="C95" s="75">
        <f t="shared" si="3"/>
        <v>5.5211184683814536E-2</v>
      </c>
      <c r="D95" s="72">
        <v>3269.96</v>
      </c>
      <c r="E95" s="72">
        <v>0.107545658</v>
      </c>
      <c r="F95" s="72">
        <v>6.5596199999999995E-4</v>
      </c>
      <c r="G95" s="72">
        <f t="shared" si="4"/>
        <v>5.4555222683814533E-2</v>
      </c>
      <c r="H95" s="72">
        <f t="shared" si="5"/>
        <v>0.10688969600000001</v>
      </c>
    </row>
    <row r="96" spans="1:8">
      <c r="A96" s="73">
        <v>44136</v>
      </c>
      <c r="B96" s="75">
        <v>131.54093900000001</v>
      </c>
      <c r="C96" s="75">
        <f t="shared" si="3"/>
        <v>9.533868387544335E-2</v>
      </c>
      <c r="D96" s="72">
        <v>3621.63</v>
      </c>
      <c r="E96" s="72">
        <v>3.7121407000000002E-2</v>
      </c>
      <c r="F96" s="72">
        <v>7.22125E-4</v>
      </c>
      <c r="G96" s="72">
        <f t="shared" si="4"/>
        <v>9.4616558875443346E-2</v>
      </c>
      <c r="H96" s="72">
        <f t="shared" si="5"/>
        <v>3.6399282000000005E-2</v>
      </c>
    </row>
    <row r="97" spans="1:8">
      <c r="A97" s="73">
        <v>44166</v>
      </c>
      <c r="B97" s="75">
        <v>144.08187899999999</v>
      </c>
      <c r="C97" s="75">
        <f t="shared" si="3"/>
        <v>3.6535677050686062E-2</v>
      </c>
      <c r="D97" s="72">
        <v>3756.07</v>
      </c>
      <c r="E97" s="72">
        <v>-1.113664E-2</v>
      </c>
      <c r="F97" s="72">
        <v>7.7171599999999998E-4</v>
      </c>
      <c r="G97" s="72">
        <f t="shared" si="4"/>
        <v>3.5763961050686063E-2</v>
      </c>
      <c r="H97" s="72">
        <f t="shared" si="5"/>
        <v>-1.1908356E-2</v>
      </c>
    </row>
    <row r="98" spans="1:8">
      <c r="A98" s="73">
        <v>44197</v>
      </c>
      <c r="B98" s="75">
        <v>149.34600800000001</v>
      </c>
      <c r="C98" s="75">
        <f t="shared" si="3"/>
        <v>-2.8627313560333163E-2</v>
      </c>
      <c r="D98" s="72">
        <v>3714.24</v>
      </c>
      <c r="E98" s="72">
        <v>2.6091474999999999E-2</v>
      </c>
      <c r="F98" s="72">
        <v>8.0000000000000004E-4</v>
      </c>
      <c r="G98" s="72">
        <f t="shared" si="4"/>
        <v>-2.9427313560333162E-2</v>
      </c>
      <c r="H98" s="72">
        <f t="shared" si="5"/>
        <v>2.5291475000000001E-2</v>
      </c>
    </row>
    <row r="99" spans="1:8">
      <c r="A99" s="73">
        <v>44228</v>
      </c>
      <c r="B99" s="75">
        <v>145.07063299999999</v>
      </c>
      <c r="C99" s="75">
        <f t="shared" si="3"/>
        <v>4.3637818827191616E-2</v>
      </c>
      <c r="D99" s="72">
        <v>3811.15</v>
      </c>
      <c r="E99" s="72">
        <v>4.2438634000000003E-2</v>
      </c>
      <c r="F99" s="72">
        <v>4.0000000000000002E-4</v>
      </c>
      <c r="G99" s="72">
        <f t="shared" si="4"/>
        <v>4.3237818827191618E-2</v>
      </c>
      <c r="H99" s="72">
        <f t="shared" si="5"/>
        <v>4.2038634000000005E-2</v>
      </c>
    </row>
    <row r="100" spans="1:8">
      <c r="A100" s="73">
        <v>44256</v>
      </c>
      <c r="B100" s="75">
        <v>151.40119899999999</v>
      </c>
      <c r="C100" s="75">
        <f t="shared" si="3"/>
        <v>-9.8571610387311534E-3</v>
      </c>
      <c r="D100" s="72">
        <v>3972.89</v>
      </c>
      <c r="E100" s="72">
        <v>5.2425313000000001E-2</v>
      </c>
      <c r="F100" s="72">
        <v>2.9999999999999997E-4</v>
      </c>
      <c r="G100" s="72">
        <f t="shared" si="4"/>
        <v>-1.0157161038731153E-2</v>
      </c>
      <c r="H100" s="72">
        <f t="shared" si="5"/>
        <v>5.2125313E-2</v>
      </c>
    </row>
    <row r="101" spans="1:8">
      <c r="A101" s="73">
        <v>44287</v>
      </c>
      <c r="B101" s="75">
        <v>149.90881300000001</v>
      </c>
      <c r="C101" s="75">
        <f t="shared" si="3"/>
        <v>4.006637021400454E-2</v>
      </c>
      <c r="D101" s="72">
        <v>4181.17</v>
      </c>
      <c r="E101" s="72">
        <v>5.4865030000000002E-3</v>
      </c>
      <c r="F101" s="72">
        <v>2.0000000000000001E-4</v>
      </c>
      <c r="G101" s="72">
        <f t="shared" si="4"/>
        <v>3.9866370214004541E-2</v>
      </c>
      <c r="H101" s="72">
        <f t="shared" si="5"/>
        <v>5.2865030000000006E-3</v>
      </c>
    </row>
    <row r="102" spans="1:8">
      <c r="A102" s="73">
        <v>44317</v>
      </c>
      <c r="B102" s="75">
        <v>155.91511499999999</v>
      </c>
      <c r="C102" s="75">
        <f t="shared" si="3"/>
        <v>-2.0574272096710932E-2</v>
      </c>
      <c r="D102" s="72">
        <v>4204.1099999999997</v>
      </c>
      <c r="E102" s="72">
        <v>2.2213976E-2</v>
      </c>
      <c r="F102" s="72">
        <v>2.0000000000000001E-4</v>
      </c>
      <c r="G102" s="72">
        <f t="shared" si="4"/>
        <v>-2.0774272096710931E-2</v>
      </c>
      <c r="H102" s="72">
        <f t="shared" si="5"/>
        <v>2.2013976000000001E-2</v>
      </c>
    </row>
    <row r="103" spans="1:8">
      <c r="A103" s="73">
        <v>44348</v>
      </c>
      <c r="B103" s="75">
        <v>152.70727500000001</v>
      </c>
      <c r="C103" s="75">
        <f t="shared" si="3"/>
        <v>4.5283572770190558E-2</v>
      </c>
      <c r="D103" s="72">
        <v>4297.5</v>
      </c>
      <c r="E103" s="72">
        <v>2.2748108999999999E-2</v>
      </c>
      <c r="F103" s="72">
        <v>4.0000000000000002E-4</v>
      </c>
      <c r="G103" s="72">
        <f t="shared" si="4"/>
        <v>4.4883572770190561E-2</v>
      </c>
      <c r="H103" s="72">
        <f t="shared" si="5"/>
        <v>2.2348108999999998E-2</v>
      </c>
    </row>
    <row r="104" spans="1:8">
      <c r="A104" s="73">
        <v>44378</v>
      </c>
      <c r="B104" s="75">
        <v>159.62240600000001</v>
      </c>
      <c r="C104" s="75">
        <f t="shared" si="3"/>
        <v>5.400626526077942E-3</v>
      </c>
      <c r="D104" s="72">
        <v>4395.26</v>
      </c>
      <c r="E104" s="72">
        <v>2.8990320999999999E-2</v>
      </c>
      <c r="F104" s="72">
        <v>5.0000000000000001E-4</v>
      </c>
      <c r="G104" s="72">
        <f t="shared" si="4"/>
        <v>4.9006265260779416E-3</v>
      </c>
      <c r="H104" s="72">
        <f t="shared" si="5"/>
        <v>2.8490320999999999E-2</v>
      </c>
    </row>
    <row r="105" spans="1:8">
      <c r="A105" s="73">
        <v>44409</v>
      </c>
      <c r="B105" s="75">
        <v>160.484467</v>
      </c>
      <c r="C105" s="75">
        <f t="shared" si="3"/>
        <v>-6.1631796427999389E-2</v>
      </c>
      <c r="D105" s="72">
        <v>4522.68</v>
      </c>
      <c r="E105" s="72">
        <v>-4.7569140000000003E-2</v>
      </c>
      <c r="F105" s="72">
        <v>5.0000000000000001E-4</v>
      </c>
      <c r="G105" s="72">
        <f t="shared" si="4"/>
        <v>-6.2131796427999389E-2</v>
      </c>
      <c r="H105" s="72">
        <f t="shared" si="5"/>
        <v>-4.8069140000000003E-2</v>
      </c>
    </row>
    <row r="106" spans="1:8">
      <c r="A106" s="73">
        <v>44440</v>
      </c>
      <c r="B106" s="75">
        <v>150.59352100000001</v>
      </c>
      <c r="C106" s="75">
        <f t="shared" si="3"/>
        <v>8.5447832778941316E-3</v>
      </c>
      <c r="D106" s="72">
        <v>4307.54</v>
      </c>
      <c r="E106" s="72">
        <v>6.9143872999999995E-2</v>
      </c>
      <c r="F106" s="72">
        <v>4.0000000000000002E-4</v>
      </c>
      <c r="G106" s="72">
        <f t="shared" si="4"/>
        <v>8.1447832778941322E-3</v>
      </c>
      <c r="H106" s="72">
        <f t="shared" si="5"/>
        <v>6.8743872999999997E-2</v>
      </c>
    </row>
    <row r="107" spans="1:8">
      <c r="A107" s="73">
        <v>44470</v>
      </c>
      <c r="B107" s="75">
        <v>151.88031000000001</v>
      </c>
      <c r="C107" s="75">
        <f t="shared" si="3"/>
        <v>-4.2669566581738018E-2</v>
      </c>
      <c r="D107" s="72">
        <v>4605.38</v>
      </c>
      <c r="E107" s="72">
        <v>-8.3337310000000005E-3</v>
      </c>
      <c r="F107" s="72">
        <v>5.0000000000000001E-4</v>
      </c>
      <c r="G107" s="72">
        <f t="shared" si="4"/>
        <v>-4.3169566581738018E-2</v>
      </c>
      <c r="H107" s="72">
        <f t="shared" si="5"/>
        <v>-8.8337310000000009E-3</v>
      </c>
    </row>
    <row r="108" spans="1:8">
      <c r="A108" s="73">
        <v>44501</v>
      </c>
      <c r="B108" s="75">
        <v>145.399643</v>
      </c>
      <c r="C108" s="75">
        <f t="shared" si="3"/>
        <v>0.1042811707591331</v>
      </c>
      <c r="D108" s="72">
        <v>4567</v>
      </c>
      <c r="E108" s="72">
        <v>4.3612875000000002E-2</v>
      </c>
      <c r="F108" s="72">
        <v>5.0000000000000001E-4</v>
      </c>
      <c r="G108" s="72">
        <f t="shared" si="4"/>
        <v>0.1037811707591331</v>
      </c>
      <c r="H108" s="72">
        <f t="shared" si="5"/>
        <v>4.3112875000000002E-2</v>
      </c>
    </row>
    <row r="109" spans="1:8">
      <c r="A109" s="73">
        <v>44531</v>
      </c>
      <c r="B109" s="75">
        <v>160.56208799999999</v>
      </c>
      <c r="C109" s="75">
        <f t="shared" si="3"/>
        <v>7.1315091517743451E-3</v>
      </c>
      <c r="D109" s="72">
        <v>4766.18</v>
      </c>
      <c r="E109" s="72">
        <v>-5.2585089000000002E-2</v>
      </c>
      <c r="F109" s="72">
        <v>5.9999999999999995E-4</v>
      </c>
      <c r="G109" s="72">
        <f t="shared" si="4"/>
        <v>6.5315091517743453E-3</v>
      </c>
      <c r="H109" s="72">
        <f t="shared" si="5"/>
        <v>-5.3185089000000005E-2</v>
      </c>
    </row>
    <row r="110" spans="1:8">
      <c r="A110" s="73">
        <v>44562</v>
      </c>
      <c r="B110" s="75">
        <v>161.70713799999999</v>
      </c>
      <c r="C110" s="75">
        <f t="shared" si="3"/>
        <v>-4.4808281746968916E-2</v>
      </c>
      <c r="D110" s="72">
        <v>4515.55</v>
      </c>
      <c r="E110" s="72">
        <v>-3.1360521000000002E-2</v>
      </c>
      <c r="F110" s="72">
        <v>1.4666670000000001E-3</v>
      </c>
      <c r="G110" s="72">
        <f t="shared" si="4"/>
        <v>-4.6274948746968914E-2</v>
      </c>
      <c r="H110" s="72">
        <f t="shared" si="5"/>
        <v>-3.2827188E-2</v>
      </c>
    </row>
    <row r="111" spans="1:8">
      <c r="A111" s="73">
        <v>44593</v>
      </c>
      <c r="B111" s="75">
        <v>154.461319</v>
      </c>
      <c r="C111" s="75">
        <f t="shared" si="3"/>
        <v>8.3840828783807025E-2</v>
      </c>
      <c r="D111" s="72">
        <v>4373.9399999999996</v>
      </c>
      <c r="E111" s="72">
        <v>3.5773238999999998E-2</v>
      </c>
      <c r="F111" s="72">
        <v>1.608333E-3</v>
      </c>
      <c r="G111" s="72">
        <f t="shared" si="4"/>
        <v>8.2232495783807022E-2</v>
      </c>
      <c r="H111" s="72">
        <f t="shared" si="5"/>
        <v>3.4164905999999995E-2</v>
      </c>
    </row>
    <row r="112" spans="1:8">
      <c r="A112" s="73">
        <v>44621</v>
      </c>
      <c r="B112" s="75">
        <v>167.411484</v>
      </c>
      <c r="C112" s="75">
        <f t="shared" si="3"/>
        <v>1.8224795140099233E-2</v>
      </c>
      <c r="D112" s="72">
        <v>4530.41</v>
      </c>
      <c r="E112" s="72">
        <v>-8.7956719000000003E-2</v>
      </c>
      <c r="F112" s="72">
        <v>1.7750000000000001E-3</v>
      </c>
      <c r="G112" s="72">
        <f t="shared" si="4"/>
        <v>1.6449795140099234E-2</v>
      </c>
      <c r="H112" s="72">
        <f t="shared" si="5"/>
        <v>-8.9731719000000001E-2</v>
      </c>
    </row>
    <row r="113" spans="1:8">
      <c r="A113" s="73">
        <v>44652</v>
      </c>
      <c r="B113" s="75">
        <v>170.462524</v>
      </c>
      <c r="C113" s="75">
        <f t="shared" si="3"/>
        <v>-5.1533203861277551E-3</v>
      </c>
      <c r="D113" s="72">
        <v>4131.93</v>
      </c>
      <c r="E113" s="74">
        <v>5.32439E-5</v>
      </c>
      <c r="F113" s="72">
        <v>2.2916669999999998E-3</v>
      </c>
      <c r="G113" s="72">
        <f t="shared" si="4"/>
        <v>-7.4449873861277549E-3</v>
      </c>
      <c r="H113" s="72">
        <f t="shared" si="5"/>
        <v>-2.2384230999999998E-3</v>
      </c>
    </row>
    <row r="114" spans="1:8">
      <c r="A114" s="73">
        <v>44682</v>
      </c>
      <c r="B114" s="75">
        <v>169.58407600000001</v>
      </c>
      <c r="C114" s="75">
        <f t="shared" si="3"/>
        <v>-4.8981190899079997E-3</v>
      </c>
      <c r="D114" s="72">
        <v>4132.1499999999996</v>
      </c>
      <c r="E114" s="72">
        <v>-8.3919992999999998E-2</v>
      </c>
      <c r="F114" s="72">
        <v>2.4166669999999999E-3</v>
      </c>
      <c r="G114" s="72">
        <f t="shared" si="4"/>
        <v>-7.3147860899079997E-3</v>
      </c>
      <c r="H114" s="72">
        <f t="shared" si="5"/>
        <v>-8.6336659999999996E-2</v>
      </c>
    </row>
    <row r="115" spans="1:8">
      <c r="A115" s="73">
        <v>44713</v>
      </c>
      <c r="B115" s="75">
        <v>168.753433</v>
      </c>
      <c r="C115" s="75">
        <f t="shared" si="3"/>
        <v>-1.6843912147256859E-2</v>
      </c>
      <c r="D115" s="72">
        <v>3785.38</v>
      </c>
      <c r="E115" s="72">
        <v>9.1116348E-2</v>
      </c>
      <c r="F115" s="72">
        <v>2.616667E-3</v>
      </c>
      <c r="G115" s="72">
        <f t="shared" si="4"/>
        <v>-1.9460579147256858E-2</v>
      </c>
      <c r="H115" s="72">
        <f t="shared" si="5"/>
        <v>8.8499680999999997E-2</v>
      </c>
    </row>
    <row r="116" spans="1:8">
      <c r="A116" s="73">
        <v>44743</v>
      </c>
      <c r="B116" s="75">
        <v>165.910965</v>
      </c>
      <c r="C116" s="75">
        <f t="shared" si="3"/>
        <v>-7.5521325549519958E-2</v>
      </c>
      <c r="D116" s="72">
        <v>4130.29</v>
      </c>
      <c r="E116" s="72">
        <v>-4.2440118999999998E-2</v>
      </c>
      <c r="F116" s="72">
        <v>2.4166669999999999E-3</v>
      </c>
      <c r="G116" s="72">
        <f t="shared" si="4"/>
        <v>-7.7937992549519955E-2</v>
      </c>
      <c r="H116" s="72">
        <f t="shared" si="5"/>
        <v>-4.4856785999999996E-2</v>
      </c>
    </row>
    <row r="117" spans="1:8">
      <c r="A117" s="73">
        <v>44774</v>
      </c>
      <c r="B117" s="75">
        <v>153.38114899999999</v>
      </c>
      <c r="C117" s="75">
        <f t="shared" si="3"/>
        <v>1.932304601525716E-2</v>
      </c>
      <c r="D117" s="72">
        <v>3955</v>
      </c>
      <c r="E117" s="72">
        <v>-9.3395701999999997E-2</v>
      </c>
      <c r="F117" s="72">
        <v>2.4166669999999999E-3</v>
      </c>
      <c r="G117" s="72">
        <f t="shared" si="4"/>
        <v>1.6906379015257159E-2</v>
      </c>
      <c r="H117" s="72">
        <f t="shared" si="5"/>
        <v>-9.5812368999999994E-2</v>
      </c>
    </row>
    <row r="118" spans="1:8">
      <c r="A118" s="73">
        <v>44805</v>
      </c>
      <c r="B118" s="75">
        <v>156.34494000000001</v>
      </c>
      <c r="C118" s="75">
        <f t="shared" si="3"/>
        <v>6.494872171750489E-2</v>
      </c>
      <c r="D118" s="72">
        <v>3585.62</v>
      </c>
      <c r="E118" s="72">
        <v>7.9863455E-2</v>
      </c>
      <c r="F118" s="72">
        <v>2.9333330000000002E-3</v>
      </c>
      <c r="G118" s="72">
        <f t="shared" si="4"/>
        <v>6.2015388717504887E-2</v>
      </c>
      <c r="H118" s="72">
        <f t="shared" si="5"/>
        <v>7.6930122000000004E-2</v>
      </c>
    </row>
    <row r="119" spans="1:8">
      <c r="A119" s="73">
        <v>44835</v>
      </c>
      <c r="B119" s="75">
        <v>166.49934400000001</v>
      </c>
      <c r="C119" s="75">
        <f t="shared" si="3"/>
        <v>2.316485403089635E-2</v>
      </c>
      <c r="D119" s="72">
        <v>3871.98</v>
      </c>
      <c r="E119" s="72">
        <v>5.375286E-2</v>
      </c>
      <c r="F119" s="72">
        <v>3.3166670000000001E-3</v>
      </c>
      <c r="G119" s="72">
        <f t="shared" si="4"/>
        <v>1.9848187030896351E-2</v>
      </c>
      <c r="H119" s="72">
        <f t="shared" si="5"/>
        <v>5.0436192999999997E-2</v>
      </c>
    </row>
    <row r="120" spans="1:8">
      <c r="A120" s="73">
        <v>44866</v>
      </c>
      <c r="B120" s="75">
        <v>170.35627700000001</v>
      </c>
      <c r="C120" s="75">
        <f t="shared" si="3"/>
        <v>-1.1787355507892588E-3</v>
      </c>
      <c r="D120" s="72">
        <v>4080.11</v>
      </c>
      <c r="E120" s="72">
        <v>-5.8971449000000002E-2</v>
      </c>
      <c r="F120" s="72">
        <v>3.2416670000000002E-3</v>
      </c>
      <c r="G120" s="72">
        <f t="shared" si="4"/>
        <v>-4.4204025507892592E-3</v>
      </c>
      <c r="H120" s="72">
        <f t="shared" si="5"/>
        <v>-6.2213115999999999E-2</v>
      </c>
    </row>
    <row r="121" spans="1:8">
      <c r="A121" s="73">
        <v>44896</v>
      </c>
      <c r="B121" s="75">
        <v>170.155472</v>
      </c>
      <c r="C121" s="75">
        <f t="shared" si="3"/>
        <v>-7.4893812407043875E-2</v>
      </c>
      <c r="D121" s="72">
        <v>3839.5</v>
      </c>
      <c r="E121" s="72">
        <v>6.1752832000000001E-2</v>
      </c>
      <c r="F121" s="72">
        <v>3.0166669999999998E-3</v>
      </c>
      <c r="G121" s="72">
        <f t="shared" si="4"/>
        <v>-7.7910479407043876E-2</v>
      </c>
      <c r="H121" s="72">
        <f t="shared" si="5"/>
        <v>5.8736165E-2</v>
      </c>
    </row>
    <row r="122" spans="1:8">
      <c r="A122" s="73">
        <v>44927</v>
      </c>
      <c r="B122" s="75">
        <v>157.41188</v>
      </c>
      <c r="C122" s="75">
        <f t="shared" si="3"/>
        <v>-6.217118428418493E-2</v>
      </c>
      <c r="D122" s="72">
        <v>4076.6</v>
      </c>
      <c r="E122" s="72">
        <v>-2.6112447E-2</v>
      </c>
      <c r="F122" s="72">
        <v>3.4749999999999998E-3</v>
      </c>
      <c r="G122" s="72">
        <f t="shared" si="4"/>
        <v>-6.5646184284184936E-2</v>
      </c>
      <c r="H122" s="72">
        <f t="shared" si="5"/>
        <v>-2.9587446999999999E-2</v>
      </c>
    </row>
    <row r="123" spans="1:8">
      <c r="A123" s="73">
        <v>44958</v>
      </c>
      <c r="B123" s="75">
        <v>147.62539699999999</v>
      </c>
      <c r="C123" s="75">
        <f t="shared" si="3"/>
        <v>1.8627296223291494E-2</v>
      </c>
      <c r="D123" s="72">
        <v>3970.15</v>
      </c>
      <c r="E123" s="72">
        <v>3.5051572000000003E-2</v>
      </c>
      <c r="F123" s="72">
        <v>3.8249999999999998E-3</v>
      </c>
      <c r="G123" s="72">
        <f t="shared" si="4"/>
        <v>1.4802296223291494E-2</v>
      </c>
      <c r="H123" s="72">
        <f t="shared" si="5"/>
        <v>3.1226572000000005E-2</v>
      </c>
    </row>
    <row r="124" spans="1:8">
      <c r="A124" s="73">
        <v>44986</v>
      </c>
      <c r="B124" s="75">
        <v>150.375259</v>
      </c>
      <c r="C124" s="75">
        <f t="shared" si="3"/>
        <v>5.6129113632981287E-2</v>
      </c>
      <c r="D124" s="72">
        <v>4109.3100000000004</v>
      </c>
      <c r="E124" s="72">
        <v>1.4642361E-2</v>
      </c>
      <c r="F124" s="72">
        <v>3.8916670000000001E-3</v>
      </c>
      <c r="G124" s="72">
        <f t="shared" si="4"/>
        <v>5.2237446632981285E-2</v>
      </c>
      <c r="H124" s="72">
        <f t="shared" si="5"/>
        <v>1.0750694E-2</v>
      </c>
    </row>
    <row r="125" spans="1:8">
      <c r="A125" s="73">
        <v>45017</v>
      </c>
      <c r="B125" s="75">
        <v>158.81568899999999</v>
      </c>
      <c r="C125" s="75">
        <f t="shared" si="3"/>
        <v>-5.2779527342541058E-2</v>
      </c>
      <c r="D125" s="72">
        <v>4169.4799999999996</v>
      </c>
      <c r="E125" s="72">
        <v>2.4823240000000002E-3</v>
      </c>
      <c r="F125" s="72">
        <v>3.9166670000000004E-3</v>
      </c>
      <c r="G125" s="72">
        <f t="shared" si="4"/>
        <v>-5.6696194342541056E-2</v>
      </c>
      <c r="H125" s="72">
        <f t="shared" si="5"/>
        <v>-1.4343430000000002E-3</v>
      </c>
    </row>
    <row r="126" spans="1:8">
      <c r="A126" s="73">
        <v>45047</v>
      </c>
      <c r="B126" s="75">
        <v>150.43347199999999</v>
      </c>
      <c r="C126" s="75">
        <f t="shared" si="3"/>
        <v>7.5511765094406685E-2</v>
      </c>
      <c r="D126" s="72">
        <v>4179.83</v>
      </c>
      <c r="E126" s="72">
        <v>6.4727513E-2</v>
      </c>
      <c r="F126" s="72">
        <v>3.7416670000000002E-3</v>
      </c>
      <c r="G126" s="72">
        <f t="shared" si="4"/>
        <v>7.1770098094406681E-2</v>
      </c>
      <c r="H126" s="72">
        <f t="shared" si="5"/>
        <v>6.0985846000000003E-2</v>
      </c>
    </row>
    <row r="127" spans="1:8">
      <c r="A127" s="73">
        <v>45078</v>
      </c>
      <c r="B127" s="75">
        <v>161.792969</v>
      </c>
      <c r="C127" s="75">
        <f t="shared" si="3"/>
        <v>1.2143525223274774E-2</v>
      </c>
      <c r="D127" s="72">
        <v>4450.38</v>
      </c>
      <c r="E127" s="72">
        <v>3.1138914E-2</v>
      </c>
      <c r="F127" s="72">
        <v>4.416667E-3</v>
      </c>
      <c r="G127" s="72">
        <f t="shared" si="4"/>
        <v>7.7268582232747742E-3</v>
      </c>
      <c r="H127" s="72">
        <f t="shared" si="5"/>
        <v>2.6722247000000001E-2</v>
      </c>
    </row>
    <row r="128" spans="1:8">
      <c r="A128" s="73">
        <v>45108</v>
      </c>
      <c r="B128" s="75">
        <v>163.75770600000001</v>
      </c>
      <c r="C128" s="75">
        <f t="shared" si="3"/>
        <v>-3.4919132294146817E-2</v>
      </c>
      <c r="D128" s="72">
        <v>4588.96</v>
      </c>
      <c r="E128" s="72">
        <v>-1.7716432000000001E-2</v>
      </c>
      <c r="F128" s="72">
        <v>4.3916670000000001E-3</v>
      </c>
      <c r="G128" s="72">
        <f t="shared" si="4"/>
        <v>-3.9310799294146818E-2</v>
      </c>
      <c r="H128" s="72">
        <f t="shared" si="5"/>
        <v>-2.2108098999999999E-2</v>
      </c>
    </row>
    <row r="129" spans="1:8">
      <c r="A129" s="73">
        <v>45139</v>
      </c>
      <c r="B129" s="75">
        <v>158.03942900000001</v>
      </c>
      <c r="C129" s="75">
        <f t="shared" si="3"/>
        <v>-2.9683105220533308E-2</v>
      </c>
      <c r="D129" s="72">
        <v>4507.66</v>
      </c>
      <c r="E129" s="72">
        <v>-4.8719290999999998E-2</v>
      </c>
      <c r="F129" s="72">
        <v>4.5750000000000001E-3</v>
      </c>
      <c r="G129" s="72">
        <f t="shared" si="4"/>
        <v>-3.4258105220533311E-2</v>
      </c>
      <c r="H129" s="72">
        <f t="shared" si="5"/>
        <v>-5.3294291000000001E-2</v>
      </c>
    </row>
    <row r="130" spans="1:8">
      <c r="A130" s="73">
        <v>45170</v>
      </c>
      <c r="B130" s="75">
        <v>153.34832800000001</v>
      </c>
      <c r="C130" s="75">
        <f t="shared" si="3"/>
        <v>-4.7576299625516676E-2</v>
      </c>
      <c r="D130" s="72">
        <v>4288.05</v>
      </c>
      <c r="E130" s="72">
        <v>-2.1979688000000001E-2</v>
      </c>
      <c r="F130" s="72">
        <v>4.5916669999999998E-3</v>
      </c>
      <c r="G130" s="72">
        <f t="shared" si="4"/>
        <v>-5.2167966625516676E-2</v>
      </c>
      <c r="H130" s="72">
        <f t="shared" si="5"/>
        <v>-2.6571355000000001E-2</v>
      </c>
    </row>
    <row r="131" spans="1:8">
      <c r="A131" s="73">
        <v>45200</v>
      </c>
      <c r="B131" s="75">
        <v>146.052582</v>
      </c>
      <c r="C131" s="75">
        <f t="shared" ref="C131:C132" si="6">(B132-B131)/B131</f>
        <v>4.2604957165358469E-2</v>
      </c>
      <c r="D131" s="72">
        <v>4193.8</v>
      </c>
      <c r="E131" s="72">
        <v>8.9179264999999994E-2</v>
      </c>
      <c r="F131" s="72">
        <v>4.6333329999999999E-3</v>
      </c>
      <c r="G131" s="72">
        <f t="shared" ref="G131:G132" si="7">C131-F131</f>
        <v>3.7971624165358472E-2</v>
      </c>
      <c r="H131" s="72">
        <f t="shared" ref="H131:H132" si="8">E131-F131</f>
        <v>8.454593199999999E-2</v>
      </c>
    </row>
    <row r="132" spans="1:8">
      <c r="A132" s="73">
        <v>45231</v>
      </c>
      <c r="B132" s="75">
        <v>152.27514600000001</v>
      </c>
      <c r="C132" s="75">
        <f t="shared" si="6"/>
        <v>2.156460253861776E-2</v>
      </c>
      <c r="D132" s="72">
        <v>4567.8</v>
      </c>
      <c r="E132" s="72">
        <v>4.4229168999999999E-2</v>
      </c>
      <c r="F132" s="72">
        <v>4.6333329999999999E-3</v>
      </c>
      <c r="G132" s="72">
        <f t="shared" si="7"/>
        <v>1.693126953861776E-2</v>
      </c>
      <c r="H132" s="72">
        <f t="shared" si="8"/>
        <v>3.9595835999999995E-2</v>
      </c>
    </row>
    <row r="133" spans="1:8">
      <c r="A133" s="73">
        <v>45261</v>
      </c>
      <c r="B133" s="75">
        <v>155.558899</v>
      </c>
      <c r="C133" s="75"/>
      <c r="D133" s="72">
        <v>4769.83</v>
      </c>
      <c r="F133" s="72">
        <v>4.6249999999999998E-3</v>
      </c>
    </row>
  </sheetData>
  <autoFilter ref="A1:H133" xr:uid="{BF328D0E-B519-4D36-9072-13D5C18EFDBA}">
    <sortState xmlns:xlrd2="http://schemas.microsoft.com/office/spreadsheetml/2017/richdata2" ref="A2:H133">
      <sortCondition ref="A1:A133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</vt:lpstr>
      <vt:lpstr>CS_IS</vt:lpstr>
      <vt:lpstr>Projected IS</vt:lpstr>
      <vt:lpstr>BS</vt:lpstr>
      <vt:lpstr>CS_BS</vt:lpstr>
      <vt:lpstr>CF</vt:lpstr>
      <vt:lpstr>Ratio</vt:lpstr>
      <vt:lpstr>regression result</vt:lpstr>
      <vt:lpstr>beta</vt:lpstr>
      <vt:lpstr>DCF</vt:lpstr>
      <vt:lpstr>Relative Valuation</vt:lpstr>
      <vt:lpstr>Projected Sales Segment</vt:lpstr>
      <vt:lpstr>Company_Income statement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Trang Thi Thuy Nguyen</cp:lastModifiedBy>
  <dcterms:created xsi:type="dcterms:W3CDTF">2024-01-18T21:50:18Z</dcterms:created>
  <dcterms:modified xsi:type="dcterms:W3CDTF">2024-03-04T05:07:06Z</dcterms:modified>
  <cp:category/>
</cp:coreProperties>
</file>