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ments" sheetId="1" r:id="rId4"/>
    <sheet state="visible" name="Investment Allocation Examples" sheetId="2" r:id="rId5"/>
    <sheet state="visible" name="2023 Forecasts &amp; Risks" sheetId="3" r:id="rId6"/>
    <sheet state="visible" name="Stocks Watchlist" sheetId="4" r:id="rId7"/>
    <sheet state="visible" name="Metals" sheetId="5" r:id="rId8"/>
    <sheet state="visible" name="BizRE" sheetId="6" r:id="rId9"/>
    <sheet state="visible" name="Stocks" sheetId="7" r:id="rId10"/>
    <sheet state="visible" name="Value Investing Ratios" sheetId="8" r:id="rId11"/>
    <sheet state="visible" name="Crypto Consolidation" sheetId="9" r:id="rId12"/>
    <sheet state="visible" name="Crypto INFO (SaleHODL Notes)" sheetId="10" r:id="rId13"/>
    <sheet state="visible" name="X-Test Crypto" sheetId="11" r:id="rId14"/>
  </sheets>
  <definedNames/>
  <calcPr/>
</workbook>
</file>

<file path=xl/sharedStrings.xml><?xml version="1.0" encoding="utf-8"?>
<sst xmlns="http://schemas.openxmlformats.org/spreadsheetml/2006/main" count="1073" uniqueCount="625">
  <si>
    <t>Cryptocurrencies</t>
  </si>
  <si>
    <t>Gold/Silver (physical)</t>
  </si>
  <si>
    <t>📈 My Finance Course</t>
  </si>
  <si>
    <t>https://bit.ly/3qzW4ZB</t>
  </si>
  <si>
    <t>Gold/Silver (allocated)</t>
  </si>
  <si>
    <t xml:space="preserve"> 🇬🇧 My UK Property Courses (No Money Down)</t>
  </si>
  <si>
    <t>http://bit.ly/3lMnQ5P</t>
  </si>
  <si>
    <t>Business Equity</t>
  </si>
  <si>
    <t>🧠 Private 1-on-1 Sessions With Me: (1 hour slots)</t>
  </si>
  <si>
    <t>https://bit.ly/3bxv3xN</t>
  </si>
  <si>
    <t>Real Estate Equity (IOM/UK)</t>
  </si>
  <si>
    <t xml:space="preserve">🪙 Where I Buy Allocated Silver/Gold Globally: </t>
  </si>
  <si>
    <t>https://bit.ly/3kbgO61</t>
  </si>
  <si>
    <t>Real Estate Equity (US)</t>
  </si>
  <si>
    <t>🇺🇸 Where I Buy Physical Silver/Gold in the USA:</t>
  </si>
  <si>
    <t>https://bit.ly/3drNR2F</t>
  </si>
  <si>
    <t>Stocks</t>
  </si>
  <si>
    <t>WAITING (Q3 2023?)</t>
  </si>
  <si>
    <t>🇬🇧 Where I Buy Physical Silver/Gold in the UK:</t>
  </si>
  <si>
    <t>https://bit.ly/3SFvp9E</t>
  </si>
  <si>
    <t>Tangibles (Antiques, Art, etc)</t>
  </si>
  <si>
    <t>Physical &amp; Bank</t>
  </si>
  <si>
    <t xml:space="preserve">🔑 How I Protect My Crypto from hackers: </t>
  </si>
  <si>
    <t>https://bit.ly/3bK8oyL</t>
  </si>
  <si>
    <t>Cash</t>
  </si>
  <si>
    <t xml:space="preserve">📈 The Stock Platform I use for Europe (FREE Credit!): </t>
  </si>
  <si>
    <t>https://bit.ly/3KoufvK</t>
  </si>
  <si>
    <t>&lt;- No Debt</t>
  </si>
  <si>
    <t>🏦 A Global bank account (that I use) that offers multiple currency ACs:</t>
  </si>
  <si>
    <t>https://bit.ly/3JpWOZK</t>
  </si>
  <si>
    <t>Total (USD)</t>
  </si>
  <si>
    <t>Monthly Income</t>
  </si>
  <si>
    <t>$25,000-$40,000</t>
  </si>
  <si>
    <t>Feb 2023: Rather than save all your CASH in the bank (unwise!) Instead, I use a bullion account where I can use my cash to buy gold at spot price, then I can sell it again later when I need the cash!</t>
  </si>
  <si>
    <t>Property (Castle) Purchase 23rd Jan 2023. Cash reserve spent. Purchased property for £980k. My bail in risk has been reduced to almost zero.</t>
  </si>
  <si>
    <t>Jan 2023: As central banks tighten (QT + Interest rate rises), asset prices will FALL. I don't agree that we will see a big 'melt up' in stocks througout the entire year. Most likely Q1, then again in Q3, yes.</t>
  </si>
  <si>
    <t xml:space="preserve">Jan 2023: I wouldn't be surprised if we see a small rally in the first 2 weeks of January to pull more people in to the markets (under a false hope). Then weeks 3 &amp; 4 to see a drop? </t>
  </si>
  <si>
    <t>Dec 2022: No change to last month. 2022 financial forecasts were accurate!</t>
  </si>
  <si>
    <t>Nov 2022: Asset prices are now beginning to fall in correlation to monetary tightening. If the Fed pivots, markets could rise again, but I don't see this until Q3 2023 at the earliest</t>
  </si>
  <si>
    <t>Oct 2022: Cash is king right now. Assets are finally starting to fall, be ready for buying opportunities in Real Estate/Property &amp; Equities in 2023!</t>
  </si>
  <si>
    <t>Sep 2022: Cash currently held between multiple bank accounts &amp; 1 brokerage account with a $1/2m FDIC insurance limit! Awaiting a further stock market correction to buy in at amazing value</t>
  </si>
  <si>
    <t>Aug 2022: As per last month, I am still accumulating cash in anticipation for a stock market decline. My plan is to then buy an (S&amp;P500) index fund + plus some undervalued 'value stocks' &amp; Growth stocks</t>
  </si>
  <si>
    <t>Jul 2022: I'm following my February plan of going to CASH! (And no, not literal paper cash in my hand or under my bed, I mean fiat between accounts)</t>
  </si>
  <si>
    <t>MY FOCUS FOR 2022-2023 IS SIMPLY PRESERVATION OF CAPITAL. I DON'T CARE ABOUT SPECULATION &amp; MAKING BIG PROFITS, IT'S NOT WORTH THE RISK FOR ME PERSONALLY</t>
  </si>
  <si>
    <t>Think of your investments like seeds. You can't rush a seed to grow, you can only nuture it and watch over it everyday.</t>
  </si>
  <si>
    <t>When that seed grows into a plant, rather than eat the (fruit) new seeds, instead sow them again to grow more. Then keep repeating this process.</t>
  </si>
  <si>
    <t>Delayed gratification is very hard to do. As human beings we are not designed for delayed gratification, but if you do it, you will suffer short term pain now, but will receive long term gain later</t>
  </si>
  <si>
    <t>3x Excellent Reference Books for money mindset: The Richest Man in Babylon, Rich Dad Poor Dad, The Millionaire Fastlane</t>
  </si>
  <si>
    <t>NOTE: Occasionally the external websites where this data is pulled from will be down, meaning the allocation % below will not be accurate</t>
  </si>
  <si>
    <t>RISK</t>
  </si>
  <si>
    <t>Silver</t>
  </si>
  <si>
    <t>Unlikely to be confiscated &amp; good inflation hedge (but be careful with investing in silver mining stocks as they could crash hard before recovering)</t>
  </si>
  <si>
    <t>Farmland</t>
  </si>
  <si>
    <r>
      <rPr>
        <rFont val="Arial"/>
        <color theme="1"/>
      </rPr>
      <t xml:space="preserve">Holds value extremely well and can be used for growing food or raising animals, good to be away from densely populated areas between </t>
    </r>
    <r>
      <rPr>
        <rFont val="Arial"/>
        <b/>
        <color theme="1"/>
      </rPr>
      <t>2020 and 2030</t>
    </r>
  </si>
  <si>
    <t>Gold</t>
  </si>
  <si>
    <r>
      <rPr>
        <rFont val="Arial"/>
        <color theme="1"/>
      </rPr>
      <t xml:space="preserve">Risk of Confiscation under a GOLD standard scenario but possibly the </t>
    </r>
    <r>
      <rPr>
        <rFont val="Arial"/>
        <b/>
        <color theme="1"/>
      </rPr>
      <t>BEST</t>
    </r>
    <r>
      <rPr>
        <rFont val="Arial"/>
        <color theme="1"/>
      </rPr>
      <t xml:space="preserve"> inflation hedge (if DXY doesn't rise) </t>
    </r>
    <r>
      <rPr>
        <rFont val="Arial"/>
        <b/>
        <i/>
        <color theme="1"/>
        <u/>
      </rPr>
      <t>Update: confirmed in July 22.</t>
    </r>
  </si>
  <si>
    <t>Crypto</t>
  </si>
  <si>
    <r>
      <rPr>
        <rFont val="Arial"/>
        <color theme="1"/>
      </rPr>
      <t xml:space="preserve">Risk of further/continued regulation or the current highs going to a -90% bear market mid 2022. </t>
    </r>
    <r>
      <rPr>
        <rFont val="Arial"/>
        <b/>
        <i/>
        <color theme="1"/>
        <u/>
      </rPr>
      <t>Update: Confirmed in June 22.</t>
    </r>
  </si>
  <si>
    <t>WILL be phased out when CBDC launches (3-5 years for phase out maybe?)</t>
  </si>
  <si>
    <t>Bonds</t>
  </si>
  <si>
    <t>Russia is a great example of paper certificates becoming worthless (confiscation without trial under international law)</t>
  </si>
  <si>
    <t>Businesses</t>
  </si>
  <si>
    <t>Inflation = Consumer cut in spending = RECESSION beginning 1st Jan 22 (will be announced in August 22?)</t>
  </si>
  <si>
    <t>Pensions</t>
  </si>
  <si>
    <t>Collapse risk! (Watch my YT video on this here: https://youtu.be/mW8V06AOkHk)</t>
  </si>
  <si>
    <t>Real Estate</t>
  </si>
  <si>
    <t>High risk of declines in 2023 - but each Country will be unique based on it's own metrics</t>
  </si>
  <si>
    <t>Stock Markets</t>
  </si>
  <si>
    <t>High risk of declines once USA interest rates (base rate) rises above 3% (if they can even get there without a QE reversal)</t>
  </si>
  <si>
    <t>Economy</t>
  </si>
  <si>
    <t>On Life Support right now, expect a recession by 2023 (I believe we are already in one now)</t>
  </si>
  <si>
    <t>Unemployment</t>
  </si>
  <si>
    <t>Employment scarring likely, save up as much as you can! Pay off BAD Debt, watch my monthly video here for a macro overview &amp; update</t>
  </si>
  <si>
    <t>COLLAPSE</t>
  </si>
  <si>
    <t>Getting more and more real every day (physical assets will save you)</t>
  </si>
  <si>
    <t>Expect the fall to go in this order: 1. Nasdaq 2. Crypto 3. Greater Stock Markets 4. Housing (3-8 years to recover from recession? / 10+ for depression?)</t>
  </si>
  <si>
    <t>KEY</t>
  </si>
  <si>
    <t>CODE</t>
  </si>
  <si>
    <t>VERY LOW</t>
  </si>
  <si>
    <t>LOW</t>
  </si>
  <si>
    <t>MEDIUM</t>
  </si>
  <si>
    <t>HIGH</t>
  </si>
  <si>
    <t>My Historical Investments</t>
  </si>
  <si>
    <t>Businesses:</t>
  </si>
  <si>
    <t>6x Businesses built and sold, 1 at a loss, 1 at break even (Covid era) &amp; 4 at a profit</t>
  </si>
  <si>
    <t>Stock Market:</t>
  </si>
  <si>
    <t>300+ stocks bought and sold, 92% at a profit, 8% at a loss</t>
  </si>
  <si>
    <t>Real Estate:</t>
  </si>
  <si>
    <t>Dozens of properties bought and sold between 2005-2008 &amp; 2014-2020, 100% at a profit</t>
  </si>
  <si>
    <t>Precious Metals:</t>
  </si>
  <si>
    <t>100% profit since 2002 on all metal sales and trades</t>
  </si>
  <si>
    <t>CASH POSITION (15 Bank Accounts)</t>
  </si>
  <si>
    <t>GENERAL NOTES</t>
  </si>
  <si>
    <t>Income in 2022-2025</t>
  </si>
  <si>
    <t>1 stream of income = HIGH risk. 5 streams = low risk. I'd take 5 income stream that I control over 1 that someone else pays me any day of the week</t>
  </si>
  <si>
    <t>INCOME:</t>
  </si>
  <si>
    <t>Generating multiple streams of income is crucial! Focus on this before taking loans/financing in order to invest. Join our coaching program if you need assistance &amp; focus in this area</t>
  </si>
  <si>
    <t xml:space="preserve">DEBT: </t>
  </si>
  <si>
    <t>I don't belive in long term debt. I prefer to pay down debt at all times rather than pay interest to someone else</t>
  </si>
  <si>
    <t>Cashflow Vs Capital Growth:</t>
  </si>
  <si>
    <t>1. Cashflow is important to me above all else. 2. Equity and capital growth are second to cashflow but must still be considered an important part of any portfolio for security and balance</t>
  </si>
  <si>
    <t>(NEW) Land:</t>
  </si>
  <si>
    <t>I absolutely LOVE land &amp; they're not making any more of it! You can use it in good times and bad times. You can live on it, farm it, rent it, the possibilities are endless</t>
  </si>
  <si>
    <t xml:space="preserve">Metals: </t>
  </si>
  <si>
    <t>I like both Silver &amp; Gold due to the current Gold to Silver Ratio. I believe Silver to have a MUCH lower confiscation risk</t>
  </si>
  <si>
    <t>Crypto Currencies:</t>
  </si>
  <si>
    <t>Please see my crypto sheet for info as this changes weekly</t>
  </si>
  <si>
    <t>Stocks:</t>
  </si>
  <si>
    <t>I like stocks, but I prefer Real Estate, but more specifically, cashflow based RE/property. Stocks are 'ok' but I'm concerned there will be a HUGE crash at some point, possibly 2022</t>
  </si>
  <si>
    <t>Property/RE:</t>
  </si>
  <si>
    <t>Buy &amp; Hold for the long run. But don't buy instead of the 3 cashflow based strategies! Do at least ONE of these 3 strategies first! Then buy property.</t>
  </si>
  <si>
    <t>Cashflow based property:</t>
  </si>
  <si>
    <t xml:space="preserve">A HUGE untapped &amp; misunderstood opportunity! In order of my preference: 1. Serviced Accommodation. 2. Rent To Rent. 3. Deal Sourcing/Packaging (aka Lease Options) </t>
  </si>
  <si>
    <t>Investment Success:</t>
  </si>
  <si>
    <t xml:space="preserve">By taking a long term 'Value Investing' approach, and using critical thinking, I've managed to be accurate on 95% of my investment decisions in the last 4 years. </t>
  </si>
  <si>
    <t>My incorrect investment decisions were in 2020 (selling Real Estate) early. And in 2021: not selling my Polkadot crypto when it hit $50 (don't take BAD advice).</t>
  </si>
  <si>
    <r>
      <rPr>
        <rFont val="Arial"/>
        <b/>
        <color theme="1"/>
      </rPr>
      <t xml:space="preserve">IDEAL PORTFOLIO 2023 </t>
    </r>
    <r>
      <rPr>
        <rFont val="Arial"/>
        <b/>
        <color rgb="FFFF0000"/>
      </rPr>
      <t>(HIGH VOLATILITY, ASSET CRASH, BANK CONFISCATION/BAIL IN RISK, WAR, CYBER ATTACK)</t>
    </r>
  </si>
  <si>
    <r>
      <rPr>
        <rFont val="Arial"/>
        <color theme="1"/>
      </rPr>
      <t>Stocks (Old fashioned) 'Value' Stocks - Energy, Miners</t>
    </r>
    <r>
      <rPr>
        <rFont val="Arial"/>
        <b/>
        <color theme="1"/>
      </rPr>
      <t>*</t>
    </r>
    <r>
      <rPr>
        <rFont val="Arial"/>
        <color theme="1"/>
      </rPr>
      <t>, Agriculture</t>
    </r>
  </si>
  <si>
    <r>
      <rPr>
        <rFont val="Arial"/>
        <color theme="1"/>
      </rPr>
      <t>Real Estate (</t>
    </r>
    <r>
      <rPr>
        <rFont val="Arial"/>
        <b/>
        <color theme="1"/>
      </rPr>
      <t>Farms</t>
    </r>
    <r>
      <rPr>
        <rFont val="Arial"/>
        <color theme="1"/>
      </rPr>
      <t xml:space="preserve"> are the safest during a high inflation period)</t>
    </r>
  </si>
  <si>
    <t>Precious Metals (Silver &amp; Gold) e.g. Turn cash into gold (cash is trash)</t>
  </si>
  <si>
    <t>Cryptocurrencies (Bitcoin Only)</t>
  </si>
  <si>
    <t>Cash (Spread between accounts, ensure you keep some physical cash!)</t>
  </si>
  <si>
    <t>Total</t>
  </si>
  <si>
    <t>Mar 2022: This chart has been added due to increased confiscation</t>
  </si>
  <si>
    <t>risk via banks (Bail Ins, new powers &amp; account freezes)</t>
  </si>
  <si>
    <t>*Gold: Rather than save all your CASH in the bank (unwise!) Instead, I use a bullion account where I can use my cash to buy gold at spot price...</t>
  </si>
  <si>
    <t>then I can sell it again later when I need the cash! (Risk: your gold holdings could go down in price, but that's the risk you take to avoid bank bail ins and inflation)</t>
  </si>
  <si>
    <t>* Miners: Due to a current strengthening $USD, EMs (Emerging Markets) are suffering &amp; restricting the miners growth at present</t>
  </si>
  <si>
    <r>
      <rPr>
        <rFont val="Arial"/>
        <b/>
        <color theme="1"/>
      </rPr>
      <t xml:space="preserve">IDEAL PORTFOLIO </t>
    </r>
    <r>
      <rPr>
        <rFont val="Arial"/>
        <b/>
        <color rgb="FFFF0000"/>
      </rPr>
      <t>(HIGH VOLATILITY &amp; ASSET CRASH RISK)</t>
    </r>
  </si>
  <si>
    <r>
      <rPr>
        <rFont val="Arial"/>
        <color theme="1"/>
      </rPr>
      <t>Stocks (Old fashioned) 'Value' Stocks - Energy, Miners</t>
    </r>
    <r>
      <rPr>
        <rFont val="Arial"/>
        <b/>
        <color theme="1"/>
      </rPr>
      <t>*</t>
    </r>
    <r>
      <rPr>
        <rFont val="Arial"/>
        <color theme="1"/>
      </rPr>
      <t>, Agriculture</t>
    </r>
  </si>
  <si>
    <t>Precious Metals (Silver &amp; Gold)</t>
  </si>
  <si>
    <r>
      <rPr>
        <rFont val="Arial"/>
        <b/>
        <color theme="1"/>
      </rPr>
      <t xml:space="preserve">IDEAL PORTFOLIO </t>
    </r>
    <r>
      <rPr>
        <rFont val="Arial"/>
        <b/>
        <color rgb="FFFF0000"/>
      </rPr>
      <t>(HIGH INFLATION) (4% + inflation)</t>
    </r>
  </si>
  <si>
    <r>
      <rPr>
        <rFont val="Arial"/>
        <color theme="1"/>
      </rPr>
      <t xml:space="preserve">Stocks: </t>
    </r>
    <r>
      <rPr>
        <rFont val="Arial"/>
        <b/>
        <color theme="1"/>
      </rPr>
      <t>Index Funds</t>
    </r>
    <r>
      <rPr>
        <rFont val="Arial"/>
        <color theme="1"/>
      </rPr>
      <t xml:space="preserve"> and/or (Value Stocks - Energy, Miners, Agriculture)</t>
    </r>
  </si>
  <si>
    <r>
      <rPr>
        <rFont val="Arial"/>
        <color theme="1"/>
      </rPr>
      <t xml:space="preserve">Real Estate </t>
    </r>
    <r>
      <rPr>
        <rFont val="Arial"/>
        <i/>
        <color theme="1"/>
      </rPr>
      <t>(but not after a price spike)</t>
    </r>
  </si>
  <si>
    <t>Precious Metals (Silver/Gold) (+ Miners)</t>
  </si>
  <si>
    <t>IDEAL PORTFOLIO (NORMAL TIMES) (2% inflation)</t>
  </si>
  <si>
    <t>Stock Market Index Funds</t>
  </si>
  <si>
    <t>Precious Metals (Silver/Gold)</t>
  </si>
  <si>
    <t xml:space="preserve">Forecasts (NEW!) </t>
  </si>
  <si>
    <t>2023 (Jan-Dec)</t>
  </si>
  <si>
    <t>US/UK/EU Economy</t>
  </si>
  <si>
    <t>Recession throughout all 3 Regions (regardless of the GDP lies they put out)</t>
  </si>
  <si>
    <t>Increase this year</t>
  </si>
  <si>
    <t>CItizens: Income/Saving/Debt</t>
  </si>
  <si>
    <t>Income: Up slightly, Savings: Down, Debt: Up - a terrible combo</t>
  </si>
  <si>
    <t>Mortgage Rates</t>
  </si>
  <si>
    <t>To remain high throughout 2023</t>
  </si>
  <si>
    <t>USA Housing Market</t>
  </si>
  <si>
    <t>Expected: I anticipate 5-10% reduction in 2023. Worst case: 25% in some over heated markets (but unlikely)</t>
  </si>
  <si>
    <t>UK Housing Market</t>
  </si>
  <si>
    <t>Expected: I anticipate 8-10% reduction in 2023. Worst case: 20%, but unlikely</t>
  </si>
  <si>
    <t>Gold &amp; Silver</t>
  </si>
  <si>
    <t>I expect higher prices in 2023. (Most of my excess cash goes into Bullion on allocation)</t>
  </si>
  <si>
    <t>S&amp;P 500</t>
  </si>
  <si>
    <t>Higher prices in Q1-Q2, then lower prices in Q3</t>
  </si>
  <si>
    <t>FTSE</t>
  </si>
  <si>
    <t>No growth at year end</t>
  </si>
  <si>
    <t>Mixed. Short term bonds over long term bonds will perform better</t>
  </si>
  <si>
    <t>Emerging Markets</t>
  </si>
  <si>
    <t>To strengthen as the dollar weakens (EM debt is $ denominated)</t>
  </si>
  <si>
    <t>No forecast, but I expect Bitcoin to perform strongly over the long term (hence my investment into Bitcoin ownership)</t>
  </si>
  <si>
    <t>Cash will continue to be reduced in supply</t>
  </si>
  <si>
    <t>AI (Artifical Intelligence)</t>
  </si>
  <si>
    <t>SHOCKS: Will destroy more jobs than anyone expects, especially as businesses try to cut staff costs</t>
  </si>
  <si>
    <t>Risks</t>
  </si>
  <si>
    <t>Risk Level in 2023</t>
  </si>
  <si>
    <t>Recession</t>
  </si>
  <si>
    <t>Cyber Pandemic</t>
  </si>
  <si>
    <t>Bank Bail Ins</t>
  </si>
  <si>
    <t>Housing Crash 20%+</t>
  </si>
  <si>
    <t>Stock Market Crash 40%+</t>
  </si>
  <si>
    <r>
      <rPr>
        <rFont val="Arial"/>
        <color theme="1"/>
      </rPr>
      <t xml:space="preserve">These Valuations are for the purpose of Long Term </t>
    </r>
    <r>
      <rPr>
        <rFont val="Arial"/>
        <b/>
        <color theme="1"/>
      </rPr>
      <t>Value Investing</t>
    </r>
    <r>
      <rPr>
        <rFont val="Arial"/>
        <color theme="1"/>
      </rPr>
      <t xml:space="preserve">, this information will not be useful for </t>
    </r>
    <r>
      <rPr>
        <rFont val="Arial"/>
        <b/>
        <color theme="1"/>
      </rPr>
      <t>Traders</t>
    </r>
  </si>
  <si>
    <r>
      <rPr>
        <rFont val="Roboto, RobotoDraft, Helvetica, Arial, sans-serif"/>
        <color rgb="FF000000"/>
      </rPr>
      <t xml:space="preserve">Please make your own copy of the stocks section contained within this spreadsheet for use with my stocks course, discount link </t>
    </r>
    <r>
      <rPr>
        <rFont val="Roboto, RobotoDraft, Helvetica, Arial, sans-serif"/>
        <b/>
        <color rgb="FF000000"/>
      </rPr>
      <t>---&gt;</t>
    </r>
  </si>
  <si>
    <t>HERE</t>
  </si>
  <si>
    <t>NOTE! Many of the metrics below have to be manually updated at the start of each month, meaning they will be out of date the later we get in the month</t>
  </si>
  <si>
    <r>
      <rPr>
        <rFont val="Arial"/>
        <color theme="1"/>
      </rPr>
      <t xml:space="preserve">These stocks were found using the techniques taught in my stock market course (See the </t>
    </r>
    <r>
      <rPr>
        <rFont val="Arial"/>
        <b/>
        <color theme="1"/>
      </rPr>
      <t>Screener Chapter</t>
    </r>
    <r>
      <rPr>
        <rFont val="Arial"/>
        <color theme="1"/>
      </rPr>
      <t>)</t>
    </r>
  </si>
  <si>
    <r>
      <rPr>
        <rFont val="Arial"/>
        <b/>
        <color theme="1"/>
      </rPr>
      <t>Neil's Stocks Strategy:</t>
    </r>
    <r>
      <rPr>
        <rFont val="Arial"/>
        <color theme="1"/>
      </rPr>
      <t xml:space="preserve"> 80% into Index funds, 20% into carefully selected 'undervalued' stock picks. Index funds could mean S&amp;P, FTSE, etc. This will depend on the economy of each Country at the time.</t>
    </r>
  </si>
  <si>
    <r>
      <rPr>
        <rFont val="Arial"/>
        <b/>
        <color theme="1"/>
      </rPr>
      <t xml:space="preserve">AT THIS TIME, I AM OUT OF ALL STOCKS. PLEASE </t>
    </r>
    <r>
      <rPr>
        <rFont val="Arial"/>
        <b/>
        <color theme="1"/>
        <u/>
      </rPr>
      <t>DO NOT</t>
    </r>
    <r>
      <rPr>
        <rFont val="Arial"/>
        <b/>
        <color theme="1"/>
      </rPr>
      <t xml:space="preserve"> COPY MY INVESTMENT MOVES, MAKE YOUR OWN DECISIONS.</t>
    </r>
  </si>
  <si>
    <t>Company</t>
  </si>
  <si>
    <t>Ticker</t>
  </si>
  <si>
    <t>Cur Price</t>
  </si>
  <si>
    <t>Neil's Value</t>
  </si>
  <si>
    <t>52W Low</t>
  </si>
  <si>
    <t>52W High</t>
  </si>
  <si>
    <t>Dividend</t>
  </si>
  <si>
    <t>PE</t>
  </si>
  <si>
    <t>PEG</t>
  </si>
  <si>
    <t>EPS</t>
  </si>
  <si>
    <t>Beta</t>
  </si>
  <si>
    <t>Daily Ch %</t>
  </si>
  <si>
    <t>Rating</t>
  </si>
  <si>
    <t>Sector</t>
  </si>
  <si>
    <t>Notes</t>
  </si>
  <si>
    <t>Taiwan Semiconductor Manufacturing</t>
  </si>
  <si>
    <t>TSM</t>
  </si>
  <si>
    <t>Sig Undervalued</t>
  </si>
  <si>
    <t>Technology</t>
  </si>
  <si>
    <t>Facebook</t>
  </si>
  <si>
    <t>META</t>
  </si>
  <si>
    <t>-</t>
  </si>
  <si>
    <t>Communication Services</t>
  </si>
  <si>
    <t>Risky! They are betting everything on the Metaverse, what if it fails?</t>
  </si>
  <si>
    <t>Tesla</t>
  </si>
  <si>
    <t>TSLA</t>
  </si>
  <si>
    <t>Consumer Cyclical</t>
  </si>
  <si>
    <t>Remember! Consumer Cyclical perform TERRIBLE in recessions + BETA Is V.High Risk!</t>
  </si>
  <si>
    <t>Exelixus</t>
  </si>
  <si>
    <t>EXEL</t>
  </si>
  <si>
    <t>Healthcare</t>
  </si>
  <si>
    <t>Alphabet (Google)</t>
  </si>
  <si>
    <t>GOOG</t>
  </si>
  <si>
    <t>Amazon</t>
  </si>
  <si>
    <t>AMZN</t>
  </si>
  <si>
    <t>Remember! Consumer Cyclical perform TERRIBLE in recessions</t>
  </si>
  <si>
    <t>Adobe</t>
  </si>
  <si>
    <t>ADBE</t>
  </si>
  <si>
    <t xml:space="preserve">Ally Financial Inc </t>
  </si>
  <si>
    <t>ALLY</t>
  </si>
  <si>
    <t>Financial</t>
  </si>
  <si>
    <t>Paypal</t>
  </si>
  <si>
    <t>PYPL</t>
  </si>
  <si>
    <t>I cannot stand any of these (political in nature) companies, BUT they are super cheap</t>
  </si>
  <si>
    <t>Disney</t>
  </si>
  <si>
    <t>DIS</t>
  </si>
  <si>
    <t>Ecolab</t>
  </si>
  <si>
    <t>ECL</t>
  </si>
  <si>
    <t>Basic Materials</t>
  </si>
  <si>
    <t>Shell PLC</t>
  </si>
  <si>
    <t>SHEL</t>
  </si>
  <si>
    <t>Mod Undervalued</t>
  </si>
  <si>
    <t>Energy</t>
  </si>
  <si>
    <t>Tyson Foods</t>
  </si>
  <si>
    <t>TSN</t>
  </si>
  <si>
    <t>Consumer Defensive</t>
  </si>
  <si>
    <t>Intel</t>
  </si>
  <si>
    <t>INTC</t>
  </si>
  <si>
    <t>Microsoft</t>
  </si>
  <si>
    <t>MSFT</t>
  </si>
  <si>
    <t>Nike</t>
  </si>
  <si>
    <t>NKE</t>
  </si>
  <si>
    <t>Apple Inc</t>
  </si>
  <si>
    <t>AAPL</t>
  </si>
  <si>
    <t>Visa</t>
  </si>
  <si>
    <t>V</t>
  </si>
  <si>
    <t>US Bancorp</t>
  </si>
  <si>
    <t>USB</t>
  </si>
  <si>
    <t>HP</t>
  </si>
  <si>
    <t>HPQ</t>
  </si>
  <si>
    <t>Micron</t>
  </si>
  <si>
    <t>MU</t>
  </si>
  <si>
    <t>Fair Value</t>
  </si>
  <si>
    <t xml:space="preserve">Chevron Corporation </t>
  </si>
  <si>
    <t>CVX</t>
  </si>
  <si>
    <t>Celanese Corporation</t>
  </si>
  <si>
    <t>CE</t>
  </si>
  <si>
    <t>Value Trap?</t>
  </si>
  <si>
    <t>Chemicals</t>
  </si>
  <si>
    <t>Netflix Inc</t>
  </si>
  <si>
    <t>NFLX</t>
  </si>
  <si>
    <t>Metal Name</t>
  </si>
  <si>
    <t>Location</t>
  </si>
  <si>
    <t>Kg</t>
  </si>
  <si>
    <t>Ounces</t>
  </si>
  <si>
    <t>Purchase PPO</t>
  </si>
  <si>
    <t>Purchase Total</t>
  </si>
  <si>
    <t>Current Prices (Retail)</t>
  </si>
  <si>
    <t>Approximate Value</t>
  </si>
  <si>
    <t>Profit</t>
  </si>
  <si>
    <t>%</t>
  </si>
  <si>
    <t>Gold (Physical)</t>
  </si>
  <si>
    <t>Isle Of Man</t>
  </si>
  <si>
    <t>Silver (Physical)</t>
  </si>
  <si>
    <t>Purchase PP/Kg</t>
  </si>
  <si>
    <t>Spot Price</t>
  </si>
  <si>
    <t>Current Value</t>
  </si>
  <si>
    <t>Silver (Allocation)</t>
  </si>
  <si>
    <t>London</t>
  </si>
  <si>
    <t>Zurich</t>
  </si>
  <si>
    <t>Gold (Allocation)</t>
  </si>
  <si>
    <t>(1.1 Tonne)</t>
  </si>
  <si>
    <t>Ignore this column (oz-&gt;kg)</t>
  </si>
  <si>
    <t>LIVE!</t>
  </si>
  <si>
    <t>Notes:</t>
  </si>
  <si>
    <t>Gold $</t>
  </si>
  <si>
    <t>Silver £</t>
  </si>
  <si>
    <t>Where to purchase Gold/Silver:</t>
  </si>
  <si>
    <t>(Please use my affiliate link)</t>
  </si>
  <si>
    <t>Silver $</t>
  </si>
  <si>
    <r>
      <rPr>
        <b/>
        <sz val="12.0"/>
      </rPr>
      <t xml:space="preserve">My affiliate link with BullionVault: </t>
    </r>
    <r>
      <rPr>
        <b/>
        <color rgb="FF1155CC"/>
        <sz val="12.0"/>
        <u/>
      </rPr>
      <t>http://www.bullionvaultaffiliate.com/neilwarduk/en</t>
    </r>
  </si>
  <si>
    <t>&lt;- They will give you 3g of FREE Silver upon sign up</t>
  </si>
  <si>
    <t>USA: (Physical)</t>
  </si>
  <si>
    <t>UK: (Physical)</t>
  </si>
  <si>
    <t>The current Spot Prices are now LIVE prices supplied by APMEX</t>
  </si>
  <si>
    <t>Legal Disclaimer: This content is for reference purposes ONLY.</t>
  </si>
  <si>
    <t>I am not a professional stock broker/trader, financial advisor or attorney. All content divulged through this platform shall not be construed as tax, legal or financial advice and may be outdated or inaccurate.</t>
  </si>
  <si>
    <t>All decisions made as a result of viewing this content are yours alone. These are my personal notes &amp; designed for my personal circumstances only.</t>
  </si>
  <si>
    <t>Previously circa £40,000 profit per month</t>
  </si>
  <si>
    <t>Businesess</t>
  </si>
  <si>
    <t>Ownership %</t>
  </si>
  <si>
    <t>Purchase Price</t>
  </si>
  <si>
    <t>Set-up Costs</t>
  </si>
  <si>
    <t>Debt Amount</t>
  </si>
  <si>
    <t>Equity (minus Set-up)</t>
  </si>
  <si>
    <t>Avg Monthly Profit</t>
  </si>
  <si>
    <t>Function</t>
  </si>
  <si>
    <t>Forward Thinking Training</t>
  </si>
  <si>
    <t>Global</t>
  </si>
  <si>
    <t>Training Consultancy</t>
  </si>
  <si>
    <t>Property Cashflow Academy</t>
  </si>
  <si>
    <t>Property/RE Training Academy</t>
  </si>
  <si>
    <t>Mentoring</t>
  </si>
  <si>
    <t>Private Client Mentoring</t>
  </si>
  <si>
    <t>Total (UK)</t>
  </si>
  <si>
    <t>Property/Real Estate</t>
  </si>
  <si>
    <t>IOM House</t>
  </si>
  <si>
    <t>IOM</t>
  </si>
  <si>
    <t>Mortgaged</t>
  </si>
  <si>
    <t xml:space="preserve">UK House </t>
  </si>
  <si>
    <t>UK</t>
  </si>
  <si>
    <t>USA Land/House (1099 swap)</t>
  </si>
  <si>
    <t>KY, USA</t>
  </si>
  <si>
    <t>Good price &amp; location (purchased for disabled Mother in law to stay in)</t>
  </si>
  <si>
    <t>Land</t>
  </si>
  <si>
    <t>PA, USA</t>
  </si>
  <si>
    <t>Natural Gas &amp; Timber sales</t>
  </si>
  <si>
    <t>No change</t>
  </si>
  <si>
    <t>Total (IOM/UK)</t>
  </si>
  <si>
    <t>Total (USA)</t>
  </si>
  <si>
    <t>Cashflow Only (Not Owned) (JVs)</t>
  </si>
  <si>
    <t>8x Rent To Rent</t>
  </si>
  <si>
    <t>4x Serviced Accommodation</t>
  </si>
  <si>
    <t>Other income (YouTube, Patreon, Course Sales, etc)</t>
  </si>
  <si>
    <t>The GBP£ has crashed against the USD$ so income is down</t>
  </si>
  <si>
    <t>I have redcued my tax liability from 74% down to just 20% by moving to the Isle Of Man</t>
  </si>
  <si>
    <t>Combined total monthly income (Roughly/Fluctuates)</t>
  </si>
  <si>
    <t>$40,000 - $45,000</t>
  </si>
  <si>
    <t>The Isle Of Man has a 20% personal tax rate capped at £200k (so earnings over this are not taxed)</t>
  </si>
  <si>
    <t>The absolute easiest strategy for stock market investing for all (non-professional) investors is to buy an index fund and just sit in it for 20+ years (10% average returns per year over the last 100 years)</t>
  </si>
  <si>
    <r>
      <rPr>
        <rFont val="Arial"/>
        <b/>
        <color theme="1"/>
      </rPr>
      <t xml:space="preserve">Start looking to move away from (Growth &amp; Tech) and towards VALUE during this highly volatile period </t>
    </r>
    <r>
      <rPr>
        <rFont val="Arial"/>
        <b/>
        <color rgb="FFFF0000"/>
      </rPr>
      <t>(but watch closely for a QT &amp; Rate rise reversal!)</t>
    </r>
  </si>
  <si>
    <t>Pur Price</t>
  </si>
  <si>
    <t>Shares</t>
  </si>
  <si>
    <t>Pur Total</t>
  </si>
  <si>
    <t>Cur Value</t>
  </si>
  <si>
    <t>Up/Down</t>
  </si>
  <si>
    <t>P/B</t>
  </si>
  <si>
    <t>No stocks currently held; the market is far too volatile at this time. I am holding a substantial cash position and waiting on a strong correction before entering positions</t>
  </si>
  <si>
    <t>Analysis ratio's to calculate value in the markets:</t>
  </si>
  <si>
    <t>Ratio:</t>
  </si>
  <si>
    <t>Average</t>
  </si>
  <si>
    <t>Current</t>
  </si>
  <si>
    <t>Value?</t>
  </si>
  <si>
    <t>S&amp;P 500 (P/E)</t>
  </si>
  <si>
    <t>Overvalued</t>
  </si>
  <si>
    <t>-------------&gt;</t>
  </si>
  <si>
    <t>23.08.22 - Expect a reversion to the mean ----&gt;</t>
  </si>
  <si>
    <t>Shiller P/E</t>
  </si>
  <si>
    <t>S&amp;P Price to Book</t>
  </si>
  <si>
    <t>S&amp;P Price to Sales</t>
  </si>
  <si>
    <t>S&amp;P Dividend Yield</t>
  </si>
  <si>
    <t>Fair</t>
  </si>
  <si>
    <t>Usually for a super safe play, I would suggest buying a index fund and just letting the greater market do the work over the long term well into the future. However, on this occasion...</t>
  </si>
  <si>
    <t>I would suggest that since market growth is now one and the same as credit growth, we need to WAIT and play it safe. Rising interest rates &amp; QT means the destruction of capital. If the banks...</t>
  </si>
  <si>
    <t>...reverse course, they will go back to QE &amp; lower interest rates, meaning that the markets should start to GROW rapidly again (this is of course all theoretical, however, still the most likely outcome)</t>
  </si>
  <si>
    <t>Suggested sectors for long term value</t>
  </si>
  <si>
    <t>#1: S&amp;P500 Index</t>
  </si>
  <si>
    <t>Index fund that tracks the S&amp;P500 over the long haul (20+ years). Simply buy &amp; hold, regardless of price fluctuations</t>
  </si>
  <si>
    <t>ENERGY</t>
  </si>
  <si>
    <t>(Coal, Oil, Gas, Petroleum &amp; Uranium)</t>
  </si>
  <si>
    <t>The coal sector has one of the lowest PE ratio's right now! (meaning very cheap value stocks)</t>
  </si>
  <si>
    <t>MINING</t>
  </si>
  <si>
    <t>(PM) Precious Metals, (EV) Electric Vehicle, Gold Royalties/Streamers</t>
  </si>
  <si>
    <t>---------&gt;</t>
  </si>
  <si>
    <t>But be careful of a rising $USD! This restricts Emerging Markets!</t>
  </si>
  <si>
    <t>AGRICULTURE</t>
  </si>
  <si>
    <t>Food shortages are near, this industry should perform well (if they can get fertiliser)</t>
  </si>
  <si>
    <t>CHEAP TECH</t>
  </si>
  <si>
    <t>Great Tech stocks that have lost 80-90% of their value</t>
  </si>
  <si>
    <t>This allocation suggestion has continued to be extremely accurate throughout 2021-2022.</t>
  </si>
  <si>
    <t>Unfortunately, mining has suffered due to a rising USD$ &amp; weakening Emerging Markets</t>
  </si>
  <si>
    <t>I will update this as/when I see new opportunites forming</t>
  </si>
  <si>
    <t>TECH (CHEAP)</t>
  </si>
  <si>
    <t>For cheap tech, understand I am referring to tech stocks which have lost a huge amount of value</t>
  </si>
  <si>
    <t>but which still have strong fundamentals. Don't just buy crap! Put in the research!</t>
  </si>
  <si>
    <t>Comparison Tool for Stock Market Investing Course</t>
  </si>
  <si>
    <r>
      <rPr>
        <rFont val="Arial"/>
        <color theme="1"/>
      </rPr>
      <t xml:space="preserve">This is </t>
    </r>
    <r>
      <rPr>
        <rFont val="Arial"/>
        <b/>
        <color theme="1"/>
        <u/>
      </rPr>
      <t>NOT</t>
    </r>
    <r>
      <rPr>
        <rFont val="Arial"/>
        <color theme="1"/>
      </rPr>
      <t xml:space="preserve"> LIVE data, the numbers below were correct as at the date of analysis (for example purposes in the stock market course only)</t>
    </r>
  </si>
  <si>
    <t>Screening: 1. Growth Forecast &amp; Strong Financials. 2. Excellent Competent Management. 3. Competitive Advantage</t>
  </si>
  <si>
    <t>Valuation EXAMPLE (QUICK)</t>
  </si>
  <si>
    <t>Company 1</t>
  </si>
  <si>
    <t>Company 2</t>
  </si>
  <si>
    <t>Company 3</t>
  </si>
  <si>
    <t>Company 4</t>
  </si>
  <si>
    <t>Best Ratio</t>
  </si>
  <si>
    <t>Apple</t>
  </si>
  <si>
    <t>PE (last 12 months)</t>
  </si>
  <si>
    <t>Lower</t>
  </si>
  <si>
    <t>Share Price / (EPS) Earnings Per Share</t>
  </si>
  <si>
    <t>Projected Earnings Growth Rate</t>
  </si>
  <si>
    <t>Higher</t>
  </si>
  <si>
    <t>Expected growth in earnings for next year</t>
  </si>
  <si>
    <t>PEG Ratio</t>
  </si>
  <si>
    <t>Below 1.0</t>
  </si>
  <si>
    <t>Share Price/EPS then divide by EPS Growth</t>
  </si>
  <si>
    <t>BETA</t>
  </si>
  <si>
    <t>Risk: Above 1 = Above market movement, Below 1 = Below market movement</t>
  </si>
  <si>
    <t>Book Value (p/share)</t>
  </si>
  <si>
    <t>Book Value = If everything was liquidated today (Debt &amp; Assets), what would be left?</t>
  </si>
  <si>
    <t>Current Ratio</t>
  </si>
  <si>
    <t>Never below 1.0! (Red Flag) If it's below 1.0, it means they probably can't pay their bills</t>
  </si>
  <si>
    <t>Debt-to-Equity (or EBITDA ratio (ttm))</t>
  </si>
  <si>
    <t>Net Debt (Balance Sheet) / EBITDA (Income Statement)</t>
  </si>
  <si>
    <t>Best Choice</t>
  </si>
  <si>
    <t>Valuation EXAMPLE (LONG)</t>
  </si>
  <si>
    <t>Better Ratio</t>
  </si>
  <si>
    <t>Debt-to-EBITDA ratio (ttm)</t>
  </si>
  <si>
    <t>Dividend Payout</t>
  </si>
  <si>
    <t xml:space="preserve">Lower </t>
  </si>
  <si>
    <t>Dividend Yield</t>
  </si>
  <si>
    <t>Profit Margin</t>
  </si>
  <si>
    <t>Return On Assets (ttm) (ROA)</t>
  </si>
  <si>
    <t>Return On Equity (ttm) (ROE)</t>
  </si>
  <si>
    <t>Debt to Equity</t>
  </si>
  <si>
    <t>Analyst Rating</t>
  </si>
  <si>
    <t>(1: Strong Buy, 2: Buy, 3: Hold, 4: Underperform, 5: Sell)</t>
  </si>
  <si>
    <t>12 month trading range</t>
  </si>
  <si>
    <t>Low</t>
  </si>
  <si>
    <t>(Low, Average, High)</t>
  </si>
  <si>
    <t>ENERGY (Oil &amp; Gas)</t>
  </si>
  <si>
    <t>XOM</t>
  </si>
  <si>
    <t>Draw</t>
  </si>
  <si>
    <t>TECH</t>
  </si>
  <si>
    <t>NVDA</t>
  </si>
  <si>
    <t>ON</t>
  </si>
  <si>
    <t>Low/Average</t>
  </si>
  <si>
    <t>Please Note: This is a LIVE spreadsheet and the prices can be delayed. Also note that the sheet may have difficulty pulling each live price at times. If you see any errors, just check back later on.</t>
  </si>
  <si>
    <t>URL</t>
  </si>
  <si>
    <t>Code</t>
  </si>
  <si>
    <t>Purchased</t>
  </si>
  <si>
    <t>(+)Staking</t>
  </si>
  <si>
    <t>Av Price</t>
  </si>
  <si>
    <t>CUR Price</t>
  </si>
  <si>
    <t>CUR Value</t>
  </si>
  <si>
    <t>Sale Notes</t>
  </si>
  <si>
    <t xml:space="preserve">CONDENSED CRYPTO HOLDINGS </t>
  </si>
  <si>
    <t>Important Note! The 'Qty' below will be different from the 'Qty originally purchased' due to staking and swaps</t>
  </si>
  <si>
    <t>https://coinmarketcap.com/currencies/polkadot-new/</t>
  </si>
  <si>
    <t>DOT</t>
  </si>
  <si>
    <t>Polkadot</t>
  </si>
  <si>
    <t>Staked on Kraken</t>
  </si>
  <si>
    <t>https://coinmarketcap.com/currencies/bitcoin/</t>
  </si>
  <si>
    <t>BTC</t>
  </si>
  <si>
    <t>Bitcoin</t>
  </si>
  <si>
    <t>COLD STORAGE</t>
  </si>
  <si>
    <t>https://coinmarketcap.com/currencies/ethereum/</t>
  </si>
  <si>
    <t>ETH</t>
  </si>
  <si>
    <t>Ethereum</t>
  </si>
  <si>
    <t>https://coinmarketcap.com/currencies/xrp/</t>
  </si>
  <si>
    <t>XRP</t>
  </si>
  <si>
    <t>https://coinmarketcap.com/currencies/cardano/</t>
  </si>
  <si>
    <t>ADA</t>
  </si>
  <si>
    <t>Cardano</t>
  </si>
  <si>
    <t>https://coinmarketcap.com/currencies/vechain/</t>
  </si>
  <si>
    <t>VET</t>
  </si>
  <si>
    <t>VeChain</t>
  </si>
  <si>
    <t>https://coinmarketcap.com/currencies/kusama/</t>
  </si>
  <si>
    <t>KSM</t>
  </si>
  <si>
    <t>Kusama</t>
  </si>
  <si>
    <t>https://coinmarketcap.com/currencies/monero/</t>
  </si>
  <si>
    <t>XMR</t>
  </si>
  <si>
    <t>Monero</t>
  </si>
  <si>
    <t>(Roughly)</t>
  </si>
  <si>
    <t>WATCHLIST: BTC, ETH, SAND, MANA &amp; SOL</t>
  </si>
  <si>
    <t>% Up/Down</t>
  </si>
  <si>
    <t>Qty</t>
  </si>
  <si>
    <t>Current Price</t>
  </si>
  <si>
    <t>Increase (USD)</t>
  </si>
  <si>
    <t>https://coinmarketcap.com/currencies/chainlink/</t>
  </si>
  <si>
    <t>LINK</t>
  </si>
  <si>
    <t>Chain Link</t>
  </si>
  <si>
    <t>(Greyed out due to being historial and not part of recent purchases) This was given to me in 'barter' way way back, I forgot I even had it in my account!)</t>
  </si>
  <si>
    <t>For some reason, I thought I paid $20 for this 1BTC, only to realise I had actually paid $417! Still... a good price!</t>
  </si>
  <si>
    <t xml:space="preserve">Bitcoin </t>
  </si>
  <si>
    <t xml:space="preserve">Purchased in December 2020 </t>
  </si>
  <si>
    <t>Purchased in December 2020 - great ROI so far!</t>
  </si>
  <si>
    <t>https://coinmarketcap.com/currencies/tezos/</t>
  </si>
  <si>
    <t>XTZ</t>
  </si>
  <si>
    <t>Tezos</t>
  </si>
  <si>
    <t>https://coinmarketcap.com/currencies/nucypher/</t>
  </si>
  <si>
    <t>NU</t>
  </si>
  <si>
    <t>NuCypher</t>
  </si>
  <si>
    <t>https://coinmarketcap.com/currencies/civic/</t>
  </si>
  <si>
    <t>CVC</t>
  </si>
  <si>
    <t>Civic</t>
  </si>
  <si>
    <t>https://coinmarketcap.com/currencies/decentraland/</t>
  </si>
  <si>
    <t>MANA</t>
  </si>
  <si>
    <t>Decentraland</t>
  </si>
  <si>
    <t>https://coinmarketcap.com/currencies/litecoin/</t>
  </si>
  <si>
    <t>LTC</t>
  </si>
  <si>
    <t>Litecoin</t>
  </si>
  <si>
    <t>https://coinmarketcap.com/currencies/bitcoin-cash/</t>
  </si>
  <si>
    <t>BCH</t>
  </si>
  <si>
    <t>Bitcoin Cash</t>
  </si>
  <si>
    <t>Chainlink</t>
  </si>
  <si>
    <t>https://coinmarketcap.com/currencies/district0x/</t>
  </si>
  <si>
    <t>DNT</t>
  </si>
  <si>
    <t>DistrictOX</t>
  </si>
  <si>
    <t>https://coinmarketcap.com/currencies/loopring/</t>
  </si>
  <si>
    <t>LRC</t>
  </si>
  <si>
    <t>Loopring</t>
  </si>
  <si>
    <t>https://coinmarketcap.com/currencies/stellar/</t>
  </si>
  <si>
    <t>XLM</t>
  </si>
  <si>
    <t>Stellar</t>
  </si>
  <si>
    <t>https://coinmarketcap.com/currencies/ren/</t>
  </si>
  <si>
    <t>REN</t>
  </si>
  <si>
    <t>Ren</t>
  </si>
  <si>
    <t>https://coinmarketcap.com/currencies/algorand/</t>
  </si>
  <si>
    <t>ALGO</t>
  </si>
  <si>
    <t>Algorand</t>
  </si>
  <si>
    <t>https://coinmarketcap.com/currencies/cosmos/</t>
  </si>
  <si>
    <t>ATOM</t>
  </si>
  <si>
    <t>Cosmos</t>
  </si>
  <si>
    <t>THE 20 COIN CHALLENGE!</t>
  </si>
  <si>
    <t>(SOLD)</t>
  </si>
  <si>
    <t>(This was a Patreon competition which resulted in a 200% ROI for members)</t>
  </si>
  <si>
    <t>https://coinmarketcap.com/currencies/synthetix-network-token/</t>
  </si>
  <si>
    <t>SNX</t>
  </si>
  <si>
    <t>Synthetix</t>
  </si>
  <si>
    <t xml:space="preserve">Swapped  </t>
  </si>
  <si>
    <t>https://coinmarketcap.com/currencies/elrond-egld/</t>
  </si>
  <si>
    <t>EGLD</t>
  </si>
  <si>
    <t>Elrond eGold</t>
  </si>
  <si>
    <t>Swapped for DOT @12% Stake ($3,000 profit)</t>
  </si>
  <si>
    <t>Swapped $50k out for staking CAKE @ 42.5% (95% profit!) (1,000% ROI on initial purchase)</t>
  </si>
  <si>
    <t>https://coinmarketcap.com/currencies/theta-fuel/</t>
  </si>
  <si>
    <t>TFUEL</t>
  </si>
  <si>
    <t>Theta Fuel</t>
  </si>
  <si>
    <t>https://coinmarketcap.com/currencies/digibyte/</t>
  </si>
  <si>
    <t>DGB</t>
  </si>
  <si>
    <t>DigiByte</t>
  </si>
  <si>
    <t>Swapped Out for DOT @ $13.24 - for 12% Staking</t>
  </si>
  <si>
    <t>https://coinmarketcap.com/currencies/theta/</t>
  </si>
  <si>
    <t>THETA</t>
  </si>
  <si>
    <t>Theta Token</t>
  </si>
  <si>
    <t>https://coinmarketcap.com/currencies/blockstack/</t>
  </si>
  <si>
    <t>STX</t>
  </si>
  <si>
    <t>Blockstack</t>
  </si>
  <si>
    <t>https://coinmarketcap.com/currencies/iota/</t>
  </si>
  <si>
    <t>MIOTA</t>
  </si>
  <si>
    <t>Swapped Out for DOT  for 12% Staking</t>
  </si>
  <si>
    <t>Swapped Out</t>
  </si>
  <si>
    <t>Sold to strenghen cash position</t>
  </si>
  <si>
    <t>https://coinmarketcap.com/currencies/zilliqa/</t>
  </si>
  <si>
    <t>ZIL</t>
  </si>
  <si>
    <t>Zilliqa</t>
  </si>
  <si>
    <t>CASHED OUT $30K+ ALREADY FROM TOTALS</t>
  </si>
  <si>
    <t>https://coinmarketcap.com/currencies/uniswap/</t>
  </si>
  <si>
    <t>UNI</t>
  </si>
  <si>
    <t>Uniswap</t>
  </si>
  <si>
    <t>Swapped Out for DOT - for 12% Staking</t>
  </si>
  <si>
    <t>https://coinmarketcap.com/currencies/compound/</t>
  </si>
  <si>
    <t>COMP</t>
  </si>
  <si>
    <t>COMPOUND</t>
  </si>
  <si>
    <t>Cashed Out in full</t>
  </si>
  <si>
    <t>https://coinmarketcap.com/currencies/avalanche/</t>
  </si>
  <si>
    <t>AVAX</t>
  </si>
  <si>
    <t>Avalanche</t>
  </si>
  <si>
    <t>CASHED OUT $70K+ ALREADY FROM TOTALS</t>
  </si>
  <si>
    <t>May-Jul 2021 (Crypto CRASH) - My Purchases - Important Note: The crypto below are LONG Term purchases. I don't care about the price right now (up or down).</t>
  </si>
  <si>
    <t>Compound</t>
  </si>
  <si>
    <t>Swapped out for DOT @ $17.43 + 12% ROI PA</t>
  </si>
  <si>
    <t>Swapped out for CAKE @ 83% ROI PA</t>
  </si>
  <si>
    <t>https://coinmarketcap.com/currencies/pancakeswap/</t>
  </si>
  <si>
    <t>CAKE</t>
  </si>
  <si>
    <t>PancakeSwap</t>
  </si>
  <si>
    <t>Swapped out for THETA &amp; XRP</t>
  </si>
  <si>
    <t>Sold to do the Nov 21 Crypto Challenge</t>
  </si>
  <si>
    <t>Sold to buy XRP @$1.00</t>
  </si>
  <si>
    <t>Sold to move towards a stronger cash position</t>
  </si>
  <si>
    <t>Swapped for BTC @ $20,700</t>
  </si>
  <si>
    <t>(The multiple purchases below have now been consolidated into their relevant assets)</t>
  </si>
  <si>
    <t>https://coinmarketcap.com/currencies/gala/</t>
  </si>
  <si>
    <t>GALA</t>
  </si>
  <si>
    <t>Gala</t>
  </si>
  <si>
    <t>Took profits! ($4,500)</t>
  </si>
  <si>
    <t xml:space="preserve">Took profits </t>
  </si>
  <si>
    <t>SWAPPED INTO BTC 14th November 2022</t>
  </si>
  <si>
    <t>https://coinmarketcap.com/currencies/axie-infinity/</t>
  </si>
  <si>
    <t>AXS</t>
  </si>
  <si>
    <t>Axie Infinity</t>
  </si>
  <si>
    <t>On Binance</t>
  </si>
  <si>
    <t>GRAND TOTALS -&gt;</t>
  </si>
  <si>
    <t>See Note:</t>
  </si>
  <si>
    <t>TOTAL PURCHASED</t>
  </si>
  <si>
    <t>CURRENT VALUE</t>
  </si>
  <si>
    <t>GAIN/LOSS</t>
  </si>
  <si>
    <t>GAIN WITH PROFITS TAKEN</t>
  </si>
  <si>
    <t>NOTE: The Grand total above does not take into account the profits already withdrawn (turned into Precious Metals)</t>
  </si>
  <si>
    <t>Nov 2022: A lot of serious problems going on, take your crypto to cold storage until this all blows over</t>
  </si>
  <si>
    <t>Oct 2022: Things are not looking good for the crypto market</t>
  </si>
  <si>
    <t>Sep 2022: Nothing to report at this stage; the crypto market is continuining to go sideways. I am holding for higher future prices while receiving staking rewards on my largest projects.</t>
  </si>
  <si>
    <t>June 2022: Go to safety! I have SWAPPED ALL my speculative crypto for BTC. Heavy drops yes, but BTC @ $20,600 is also down heavily, so it almost balances out</t>
  </si>
  <si>
    <t>May 2022: Don't panic about the current market, simply stake your assets now. I have mine in strong staking projects and will sell in the future - even if it takes years, (this is why we diversify!)</t>
  </si>
  <si>
    <t>Apr 2022: Severe bear market territory now. Expect weak ALT coins to lose 90% of their value. Only the stronger projects will survive going forward as liquidity gets pulled out of the market</t>
  </si>
  <si>
    <t>Apr 2022: My focus is to exit weaker assets as and when they reach a fair market value (or break even point for price decreases). To go to cash and accept an 8% ROI for the time being</t>
  </si>
  <si>
    <t>Nov 2021: Be careful if entering mid Nov onwards, we are expecting a bear market soon. It may be better to get your funds moved into the platforms ready for a discounted shopping spree when the market comes down.</t>
  </si>
  <si>
    <t>Nov 2021: I cashed out $300k before the Nov crash to pay a tax bill. This was not skill, it was simply good luck on my behalf. I did not have 'amazing' foresight</t>
  </si>
  <si>
    <t>Oct 2021: I'm slightly concerned about the crypto market as we go into Winter... I hope we don't see a major correction again like we did in the Spring</t>
  </si>
  <si>
    <t>Aug 2021: The market is showing strong signs of a recovery now. I will continue to consolidate into stronger positions (ADA, DOT, etc)</t>
  </si>
  <si>
    <t>Jun 2021: The market crashed way too early. It took everyone by surprise, even the crypto 'guru's' - now is the time to STAKE @ a high ROI % until we go back into a bull market again. The staking will make you rich later on. PATIENCE is 'KEY'</t>
  </si>
  <si>
    <t>May 2021: It just goes to show that NO ONE really understands the swings of the crypto market... I'm glad I cashed out 2 weeks before the crash, this enabled me to buy back in at a cheap price point</t>
  </si>
  <si>
    <t>May 2021: I cashed out $105,000 on 7th May 2021 from the highest returning crypto. I am using this cash to buy GOLD (Swiss vault) to balance out my Silver holdings</t>
  </si>
  <si>
    <t>Apr 2021: I cashed out $35,000 on 6th April 2021 from the highest returning crypto. I used this cash to buy GOLD to balance out my Silver holdings</t>
  </si>
  <si>
    <t>Mar 2021: My next target WAS $1M in crypto by June 2021. To then cash out some positions to take profits. However, I am now considering cashing out some @ $750k/possibly April 21</t>
  </si>
  <si>
    <t>Dec 2020: My strategy is to invest $250k and have roughly $500k in crypto before the of Spring 2021 - ACHIEVED BY END OF JAN 21!</t>
  </si>
  <si>
    <t>EXIT Strategy! Always take profits on the way up. Swap strong gains for weaker gaining coins to keep swapping upwards to grow holdings</t>
  </si>
  <si>
    <t>Reference Sites:</t>
  </si>
  <si>
    <t>NEIL'S TOP PICKS (LONG HOLD)</t>
  </si>
  <si>
    <t>Position</t>
  </si>
  <si>
    <r>
      <rPr>
        <rFont val="Arial"/>
        <color theme="1"/>
      </rPr>
      <t xml:space="preserve">List Last Updated: </t>
    </r>
    <r>
      <rPr>
        <rFont val="Arial"/>
        <b/>
        <color theme="1"/>
      </rPr>
      <t>15th June 2022</t>
    </r>
  </si>
  <si>
    <t>https://www.coingecko.com/</t>
  </si>
  <si>
    <t>SOL</t>
  </si>
  <si>
    <t>Solana</t>
  </si>
  <si>
    <t>TEST SHEET ONLY- For backup purposes looking up live pricing</t>
  </si>
  <si>
    <t>Currency</t>
  </si>
  <si>
    <t>TEST Price</t>
  </si>
  <si>
    <t>USD</t>
  </si>
</sst>
</file>

<file path=xl/styles.xml><?xml version="1.0" encoding="utf-8"?>
<styleSheet xmlns="http://schemas.openxmlformats.org/spreadsheetml/2006/main" xmlns:x14ac="http://schemas.microsoft.com/office/spreadsheetml/2009/9/ac" xmlns:mc="http://schemas.openxmlformats.org/markup-compatibility/2006">
  <numFmts count="16">
    <numFmt numFmtId="164" formatCode="&quot;$&quot;#,##0.00"/>
    <numFmt numFmtId="165" formatCode="[$$]#,##0.00"/>
    <numFmt numFmtId="166" formatCode="[$£]#,##0.00"/>
    <numFmt numFmtId="167" formatCode="0.0"/>
    <numFmt numFmtId="168" formatCode="#,##0.000"/>
    <numFmt numFmtId="169" formatCode="0.000"/>
    <numFmt numFmtId="170" formatCode="&quot;$&quot;#,##0"/>
    <numFmt numFmtId="171" formatCode="&quot;€&quot;#,##0.00"/>
    <numFmt numFmtId="172" formatCode="mmm d"/>
    <numFmt numFmtId="173" formatCode="#,##0.0"/>
    <numFmt numFmtId="174" formatCode="0.0%"/>
    <numFmt numFmtId="175" formatCode="&quot;$&quot;#,##0.0000"/>
    <numFmt numFmtId="176" formatCode="&quot;$&quot;#,##0.000"/>
    <numFmt numFmtId="177" formatCode="d mmmm yyyy"/>
    <numFmt numFmtId="178" formatCode="&quot;$&quot;#,##0.00000"/>
    <numFmt numFmtId="179" formatCode="&quot;$&quot;#,##0.000000"/>
  </numFmts>
  <fonts count="141">
    <font>
      <sz val="10.0"/>
      <color rgb="FF000000"/>
      <name val="Arial"/>
      <scheme val="minor"/>
    </font>
    <font>
      <color theme="1"/>
      <name val="Arial"/>
    </font>
    <font>
      <sz val="11.0"/>
      <color rgb="FF000000"/>
      <name val="Inconsolata"/>
    </font>
    <font>
      <color rgb="FF000000"/>
      <name val="Roboto"/>
    </font>
    <font>
      <u/>
      <color rgb="FF000000"/>
      <name val="Roboto"/>
    </font>
    <font>
      <color rgb="FF000000"/>
      <name val="Arial"/>
    </font>
    <font>
      <u/>
      <color rgb="FF000000"/>
      <name val="Roboto"/>
    </font>
    <font>
      <u/>
      <color rgb="FF000000"/>
      <name val="Roboto"/>
    </font>
    <font>
      <i/>
      <u/>
      <color theme="1"/>
      <name val="Arial"/>
      <scheme val="minor"/>
    </font>
    <font>
      <color theme="1"/>
      <name val="Arial"/>
      <scheme val="minor"/>
    </font>
    <font>
      <b/>
      <color theme="1"/>
      <name val="Arial"/>
    </font>
    <font>
      <b/>
      <sz val="11.0"/>
      <color rgb="FF000000"/>
      <name val="Inconsolata"/>
    </font>
    <font>
      <i/>
      <u/>
      <color theme="1"/>
      <name val="Arial"/>
    </font>
    <font>
      <u/>
      <color rgb="FF000000"/>
      <name val="Roboto"/>
    </font>
    <font>
      <b/>
      <sz val="11.0"/>
      <color theme="1"/>
      <name val="Inconsolata"/>
    </font>
    <font>
      <i/>
      <u/>
      <color theme="1"/>
      <name val="Arial"/>
    </font>
    <font>
      <b/>
      <i/>
      <color rgb="FF1A1A1B"/>
      <name val="Arial"/>
      <scheme val="minor"/>
    </font>
    <font>
      <b/>
      <i/>
      <sz val="11.0"/>
      <color rgb="FF1A1A1B"/>
      <name val="Inconsolata"/>
    </font>
    <font>
      <i/>
      <color rgb="FF000000"/>
      <name val="Arial"/>
    </font>
    <font>
      <b/>
      <color theme="1"/>
      <name val="Arial"/>
      <scheme val="minor"/>
    </font>
    <font>
      <b/>
      <color rgb="FFFF0000"/>
      <name val="Arial"/>
    </font>
    <font>
      <color rgb="FFFF0000"/>
      <name val="Arial"/>
    </font>
    <font>
      <u/>
      <color rgb="FF000000"/>
      <name val="Arial"/>
    </font>
    <font>
      <b/>
      <sz val="11.0"/>
      <color rgb="FF000000"/>
      <name val="Arial"/>
    </font>
    <font>
      <sz val="11.0"/>
      <color rgb="FF000000"/>
      <name val="Arial"/>
    </font>
    <font>
      <sz val="11.0"/>
      <color theme="1"/>
      <name val="Arial"/>
    </font>
    <font>
      <b/>
      <sz val="11.0"/>
      <color rgb="FF0000FF"/>
      <name val="Arial"/>
    </font>
    <font>
      <sz val="11.0"/>
      <color rgb="FF0000FF"/>
      <name val="Arial"/>
    </font>
    <font>
      <b/>
      <color rgb="FF0000FF"/>
      <name val="Arial"/>
    </font>
    <font>
      <sz val="11.0"/>
      <color rgb="FF0000FF"/>
      <name val="Inconsolata"/>
    </font>
    <font>
      <b/>
      <color rgb="FF000000"/>
      <name val="Roboto"/>
    </font>
    <font>
      <b/>
      <sz val="11.0"/>
      <color rgb="FFFF0000"/>
      <name val="Inconsolata"/>
    </font>
    <font>
      <i/>
      <color theme="1"/>
      <name val="Arial"/>
      <scheme val="minor"/>
    </font>
    <font>
      <color rgb="FFFFFFFF"/>
      <name val="Arial"/>
      <scheme val="minor"/>
    </font>
    <font>
      <u/>
      <color rgb="FF0000FF"/>
      <name val="Roboto"/>
    </font>
    <font>
      <b/>
      <i/>
      <color theme="1"/>
      <name val="Arial"/>
      <scheme val="minor"/>
    </font>
    <font>
      <b/>
      <sz val="10.0"/>
      <color rgb="FF000000"/>
      <name val="Arial"/>
    </font>
    <font>
      <b/>
      <sz val="10.0"/>
      <color theme="1"/>
      <name val="Arial"/>
    </font>
    <font>
      <b/>
      <i/>
      <sz val="10.0"/>
      <color theme="1"/>
      <name val="Arial"/>
    </font>
    <font>
      <sz val="10.0"/>
      <color theme="1"/>
      <name val="Arial"/>
    </font>
    <font>
      <i/>
      <sz val="10.0"/>
      <color rgb="FF0000FF"/>
      <name val="Arial"/>
    </font>
    <font>
      <sz val="10.0"/>
      <color rgb="FF0000FF"/>
      <name val="Arial"/>
    </font>
    <font>
      <i/>
      <color rgb="FFB7B7B7"/>
      <name val="Arial"/>
    </font>
    <font>
      <b/>
      <sz val="11.0"/>
      <color rgb="FF7E3794"/>
      <name val="Inconsolata"/>
    </font>
    <font>
      <sz val="10.0"/>
      <color rgb="FF38761D"/>
      <name val="Arial"/>
    </font>
    <font>
      <sz val="10.0"/>
      <color rgb="FF000000"/>
      <name val="Arial"/>
    </font>
    <font>
      <sz val="10.0"/>
      <color rgb="FF0000FF"/>
      <name val="Monospace"/>
    </font>
    <font>
      <sz val="7.0"/>
      <color rgb="FFB7B7B7"/>
      <name val="Inconsolata"/>
    </font>
    <font>
      <i/>
      <sz val="10.0"/>
      <color rgb="FFB7B7B7"/>
      <name val="Arial"/>
    </font>
    <font>
      <i/>
      <sz val="10.0"/>
      <color rgb="FF6AA84F"/>
      <name val="Arial"/>
    </font>
    <font>
      <sz val="10.0"/>
      <color rgb="FF0000FF"/>
      <name val="&quot;noto sans&quot;"/>
    </font>
    <font>
      <sz val="10.0"/>
      <color rgb="FF241E12"/>
      <name val="Arial"/>
      <scheme val="minor"/>
    </font>
    <font>
      <b/>
      <i/>
      <color theme="1"/>
      <name val="Arial"/>
    </font>
    <font>
      <b/>
      <sz val="14.0"/>
      <color theme="1"/>
      <name val="Arial"/>
    </font>
    <font>
      <sz val="14.0"/>
      <color rgb="FFE5EFF5"/>
      <name val="Monospace"/>
    </font>
    <font>
      <sz val="7.0"/>
      <color rgb="FFB7B7B7"/>
      <name val="Arial"/>
    </font>
    <font>
      <b/>
      <sz val="12.0"/>
      <color theme="1"/>
      <name val="Arial"/>
    </font>
    <font>
      <b/>
      <sz val="10.0"/>
      <color rgb="FFFF0000"/>
      <name val="Arial"/>
    </font>
    <font>
      <b/>
      <u/>
      <sz val="12.0"/>
      <color rgb="FF0000FF"/>
    </font>
    <font>
      <b/>
      <sz val="10.0"/>
      <color rgb="FF0000FF"/>
      <name val="Arial"/>
    </font>
    <font>
      <u/>
      <color rgb="FF000000"/>
      <name val="Roboto"/>
    </font>
    <font>
      <u/>
      <sz val="11.0"/>
      <color rgb="FF0000FF"/>
      <name val="Roboto"/>
    </font>
    <font>
      <b/>
      <sz val="11.0"/>
      <color rgb="FFFF0000"/>
      <name val="Arial"/>
    </font>
    <font>
      <u/>
      <sz val="11.0"/>
      <color rgb="FF1A1A1B"/>
      <name val="&quot;noto sans&quot;"/>
    </font>
    <font>
      <color rgb="FF38761D"/>
      <name val="Arial"/>
    </font>
    <font>
      <b/>
      <color rgb="FF38761D"/>
      <name val="Arial"/>
    </font>
    <font>
      <i/>
      <u/>
      <color theme="1"/>
      <name val="Arial"/>
    </font>
    <font>
      <sz val="10.0"/>
      <color theme="1"/>
      <name val="Arial"/>
      <scheme val="minor"/>
    </font>
    <font>
      <b/>
      <u/>
      <sz val="11.0"/>
      <color rgb="FFFF0000"/>
      <name val="Arial"/>
    </font>
    <font>
      <sz val="10.0"/>
      <color rgb="FF1E2026"/>
      <name val="Arial"/>
    </font>
    <font>
      <sz val="11.0"/>
      <color rgb="FF1E2026"/>
      <name val="Binanceplex"/>
    </font>
    <font>
      <b/>
      <sz val="11.0"/>
      <color rgb="FF212833"/>
      <name val="Arial"/>
    </font>
    <font>
      <sz val="11.0"/>
      <color rgb="FF212833"/>
      <name val="Arial"/>
    </font>
    <font>
      <u/>
      <sz val="10.0"/>
      <color rgb="FF0000FF"/>
    </font>
    <font>
      <u/>
      <sz val="10.0"/>
      <color rgb="FF0000FF"/>
      <name val="Arial"/>
    </font>
    <font>
      <sz val="10.0"/>
      <color rgb="FF000000"/>
    </font>
    <font>
      <b/>
      <sz val="10.0"/>
      <color rgb="FF1E2026"/>
      <name val="Arial"/>
    </font>
    <font>
      <b/>
      <u/>
      <sz val="10.0"/>
      <color theme="1"/>
    </font>
    <font>
      <u/>
      <sz val="10.0"/>
      <color rgb="FF0000FF"/>
    </font>
    <font>
      <u/>
      <color rgb="FF0000FF"/>
      <name val="Arial"/>
    </font>
    <font>
      <u/>
      <sz val="10.0"/>
      <color rgb="FF000000"/>
    </font>
    <font>
      <u/>
      <color rgb="FF0000FF"/>
      <name val="Arial"/>
    </font>
    <font>
      <b/>
      <i/>
      <color rgb="FFB7B7B7"/>
      <name val="Arial"/>
    </font>
    <font>
      <sz val="10.0"/>
      <color rgb="FFB7B7B7"/>
      <name val="Arial"/>
    </font>
    <font>
      <color rgb="FFB7B7B7"/>
      <name val="Arial"/>
    </font>
    <font>
      <b/>
      <color rgb="FF188038"/>
      <name val="Arial"/>
    </font>
    <font>
      <color rgb="FF000000"/>
      <name val="-apple-system"/>
    </font>
    <font>
      <sz val="11.0"/>
      <color rgb="FF050F19"/>
      <name val="Arial"/>
    </font>
    <font>
      <sz val="11.0"/>
      <color rgb="FF050F19"/>
      <name val="Graphik"/>
    </font>
    <font>
      <u/>
      <sz val="10.0"/>
      <color rgb="FF0000FF"/>
    </font>
    <font>
      <sz val="11.0"/>
      <color rgb="FF1E2026"/>
      <name val="Arial"/>
    </font>
    <font>
      <sz val="10.0"/>
      <color rgb="FF212833"/>
      <name val="Arial"/>
    </font>
    <font>
      <u/>
      <color rgb="FF0000FF"/>
    </font>
    <font>
      <u/>
      <sz val="11.0"/>
      <color rgb="FF0000FF"/>
      <name val="Arial"/>
    </font>
    <font>
      <sz val="10.0"/>
      <color rgb="FF4A4A4A"/>
      <name val="Arial"/>
    </font>
    <font>
      <u/>
      <sz val="10.0"/>
      <color rgb="FF0000FF"/>
    </font>
    <font>
      <u/>
      <sz val="10.0"/>
      <color rgb="FF0000FF"/>
      <name val="Arial"/>
    </font>
    <font>
      <sz val="11.0"/>
      <color rgb="FF4A4A4A"/>
      <name val="Arial"/>
    </font>
    <font>
      <u/>
      <sz val="10.0"/>
      <color rgb="FF0000FF"/>
      <name val="Arial"/>
    </font>
    <font>
      <u/>
      <color rgb="FF0000FF"/>
    </font>
    <font>
      <i/>
      <color rgb="FF188038"/>
      <name val="Arial"/>
    </font>
    <font>
      <u/>
      <sz val="10.0"/>
      <color rgb="FF0000FF"/>
      <name val="Arial"/>
    </font>
    <font>
      <b/>
      <sz val="11.0"/>
      <color rgb="FFEA4335"/>
      <name val="Inconsolata"/>
    </font>
    <font>
      <sz val="10.0"/>
      <color rgb="FF111827"/>
      <name val="Arial"/>
    </font>
    <font>
      <b/>
      <sz val="10.0"/>
      <color theme="1"/>
      <name val="Arial"/>
      <scheme val="minor"/>
    </font>
    <font>
      <u/>
      <sz val="10.0"/>
      <color rgb="FF0000FF"/>
    </font>
    <font>
      <u/>
      <color rgb="FF0000FF"/>
      <name val="Arial"/>
    </font>
    <font>
      <b/>
      <sz val="13.0"/>
      <color theme="1"/>
      <name val="Arial"/>
    </font>
    <font>
      <b/>
      <sz val="12.0"/>
      <color rgb="FFFFFFFF"/>
      <name val="Arial"/>
    </font>
    <font>
      <sz val="12.0"/>
      <color theme="1"/>
      <name val="Arial"/>
    </font>
    <font>
      <b/>
      <sz val="12.0"/>
      <color rgb="FF000000"/>
      <name val="Arial"/>
    </font>
    <font>
      <sz val="12.0"/>
      <color rgb="FF000000"/>
      <name val="Arial"/>
    </font>
    <font>
      <b/>
      <sz val="9.0"/>
      <color theme="1"/>
      <name val="Arial"/>
    </font>
    <font>
      <b/>
      <color rgb="FF000000"/>
      <name val="Arial"/>
    </font>
    <font>
      <b/>
      <u/>
      <color rgb="FF000000"/>
      <name val="Arial"/>
    </font>
    <font>
      <b/>
      <u/>
      <color rgb="FF000000"/>
      <name val="Arial"/>
    </font>
    <font>
      <b/>
      <u/>
      <color rgb="FF000000"/>
      <name val="Arial"/>
    </font>
    <font>
      <b/>
      <u/>
      <color rgb="FF000000"/>
      <name val="Arial"/>
    </font>
    <font>
      <b/>
      <u/>
      <color rgb="FF0000FF"/>
    </font>
    <font>
      <u/>
      <sz val="10.0"/>
      <color rgb="FF0000FF"/>
      <name val="Arial"/>
    </font>
    <font>
      <sz val="10.0"/>
      <color rgb="FF000000"/>
      <name val="Inconsolata"/>
    </font>
    <font>
      <u/>
      <sz val="10.0"/>
      <color rgb="FF0000FF"/>
      <name val="Arial"/>
    </font>
    <font>
      <sz val="10.0"/>
      <color rgb="FF1E2026"/>
      <name val="Binanceplex"/>
    </font>
    <font>
      <sz val="10.0"/>
      <color rgb="FF000000"/>
      <name val="Binanceplex"/>
    </font>
    <font>
      <color rgb="FF000000"/>
      <name val="Inconsolata"/>
    </font>
    <font>
      <b/>
      <u/>
      <sz val="12.0"/>
      <color rgb="FFFF0000"/>
      <name val="Arial"/>
    </font>
    <font>
      <u/>
      <color rgb="FF1155CC"/>
      <name val="Arial"/>
    </font>
    <font>
      <i/>
      <sz val="11.0"/>
      <color rgb="FFB7B7B7"/>
      <name val="Inconsolata"/>
    </font>
    <font>
      <color rgb="FF188038"/>
      <name val="Arial"/>
    </font>
    <font>
      <sz val="11.0"/>
      <color rgb="FF76808F"/>
      <name val="Binanceplex"/>
    </font>
    <font>
      <color rgb="FF4A4A4A"/>
      <name val="-apple-system"/>
    </font>
    <font>
      <color rgb="FF0000FF"/>
      <name val="Arial"/>
    </font>
    <font>
      <u/>
      <sz val="11.0"/>
      <color rgb="FF0000FF"/>
      <name val="Arial"/>
    </font>
    <font>
      <u/>
      <sz val="10.0"/>
      <color rgb="FF0000FF"/>
      <name val="Arial"/>
    </font>
    <font>
      <color rgb="FF4A4A4A"/>
      <name val="Arial"/>
    </font>
    <font>
      <u/>
      <sz val="10.0"/>
      <color rgb="FF1155CC"/>
      <name val="Arial"/>
    </font>
    <font>
      <sz val="11.0"/>
      <color rgb="FF76808F"/>
      <name val="Arial"/>
    </font>
    <font>
      <sz val="10.0"/>
      <color rgb="FFFF0000"/>
      <name val="Arial"/>
    </font>
    <font>
      <u/>
      <sz val="10.0"/>
      <color rgb="FF0000FF"/>
      <name val="Arial"/>
    </font>
    <font>
      <sz val="12.0"/>
      <color theme="1"/>
      <name val="Whitney"/>
    </font>
    <font>
      <b/>
      <u/>
      <color rgb="FF1155CC"/>
      <name val="Arial"/>
    </font>
  </fonts>
  <fills count="19">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
      <patternFill patternType="solid">
        <fgColor rgb="FFD9EAD3"/>
        <bgColor rgb="FFD9EAD3"/>
      </patternFill>
    </fill>
    <fill>
      <patternFill patternType="solid">
        <fgColor rgb="FFB6D7A8"/>
        <bgColor rgb="FFB6D7A8"/>
      </patternFill>
    </fill>
    <fill>
      <patternFill patternType="solid">
        <fgColor rgb="FF980000"/>
        <bgColor rgb="FF980000"/>
      </patternFill>
    </fill>
    <fill>
      <patternFill patternType="solid">
        <fgColor rgb="FFFFF2CC"/>
        <bgColor rgb="FFFFF2CC"/>
      </patternFill>
    </fill>
    <fill>
      <patternFill patternType="solid">
        <fgColor rgb="FF6AA84F"/>
        <bgColor rgb="FF6AA84F"/>
      </patternFill>
    </fill>
    <fill>
      <patternFill patternType="solid">
        <fgColor rgb="FFCFE2F3"/>
        <bgColor rgb="FFCFE2F3"/>
      </patternFill>
    </fill>
    <fill>
      <patternFill patternType="solid">
        <fgColor rgb="FFE06666"/>
        <bgColor rgb="FFE06666"/>
      </patternFill>
    </fill>
    <fill>
      <patternFill patternType="solid">
        <fgColor rgb="FF00FFFF"/>
        <bgColor rgb="FF00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670">
    <xf borderId="0" fillId="0" fontId="0" numFmtId="0" xfId="0" applyAlignment="1" applyFont="1">
      <alignment readingOrder="0" shrinkToFit="0" vertical="bottom" wrapText="0"/>
    </xf>
    <xf borderId="0" fillId="0" fontId="1" numFmtId="0" xfId="0" applyAlignment="1" applyFont="1">
      <alignment vertical="bottom"/>
    </xf>
    <xf borderId="0" fillId="2" fontId="2" numFmtId="164" xfId="0" applyAlignment="1" applyFill="1" applyFont="1" applyNumberFormat="1">
      <alignment horizontal="right" vertical="bottom"/>
    </xf>
    <xf borderId="0" fillId="0" fontId="1" numFmtId="0" xfId="0" applyAlignment="1" applyFont="1">
      <alignment readingOrder="0"/>
    </xf>
    <xf borderId="0" fillId="0" fontId="1" numFmtId="0" xfId="0" applyFont="1"/>
    <xf borderId="0" fillId="0" fontId="3" numFmtId="0" xfId="0" applyFont="1"/>
    <xf borderId="0" fillId="0" fontId="3" numFmtId="0" xfId="0" applyAlignment="1" applyFont="1">
      <alignment readingOrder="0"/>
    </xf>
    <xf borderId="0" fillId="0" fontId="1" numFmtId="0" xfId="0" applyAlignment="1" applyFont="1">
      <alignment readingOrder="0" vertical="bottom"/>
    </xf>
    <xf borderId="0" fillId="0" fontId="2" numFmtId="165" xfId="0" applyAlignment="1" applyFont="1" applyNumberFormat="1">
      <alignment horizontal="right" vertical="bottom"/>
    </xf>
    <xf borderId="0" fillId="3" fontId="0" numFmtId="0" xfId="0" applyAlignment="1" applyFill="1" applyFont="1">
      <alignment readingOrder="0"/>
    </xf>
    <xf borderId="0" fillId="4" fontId="1" numFmtId="0" xfId="0" applyFill="1" applyFont="1"/>
    <xf borderId="0" fillId="4" fontId="3" numFmtId="0" xfId="0" applyFont="1"/>
    <xf borderId="0" fillId="3" fontId="4" numFmtId="0" xfId="0" applyAlignment="1" applyFont="1">
      <alignment readingOrder="0"/>
    </xf>
    <xf borderId="0" fillId="2" fontId="5" numFmtId="0" xfId="0" applyAlignment="1" applyFont="1">
      <alignment vertical="bottom"/>
    </xf>
    <xf borderId="0" fillId="4" fontId="1" numFmtId="0" xfId="0" applyAlignment="1" applyFont="1">
      <alignment readingOrder="0"/>
    </xf>
    <xf borderId="0" fillId="4" fontId="6" numFmtId="0" xfId="0" applyAlignment="1" applyFont="1">
      <alignment readingOrder="0"/>
    </xf>
    <xf borderId="0" fillId="2" fontId="2" numFmtId="165" xfId="0" applyFont="1" applyNumberFormat="1"/>
    <xf borderId="0" fillId="4" fontId="7" numFmtId="0" xfId="0" applyFont="1"/>
    <xf borderId="0" fillId="5" fontId="1" numFmtId="0" xfId="0" applyAlignment="1" applyFill="1" applyFont="1">
      <alignment vertical="bottom"/>
    </xf>
    <xf borderId="0" fillId="5" fontId="2" numFmtId="165" xfId="0" applyAlignment="1" applyFont="1" applyNumberFormat="1">
      <alignment readingOrder="0"/>
    </xf>
    <xf borderId="0" fillId="0" fontId="8" numFmtId="0" xfId="0" applyAlignment="1" applyFont="1">
      <alignment horizontal="center" readingOrder="0"/>
    </xf>
    <xf borderId="0" fillId="2" fontId="2" numFmtId="165" xfId="0" applyAlignment="1" applyFont="1" applyNumberFormat="1">
      <alignment readingOrder="0"/>
    </xf>
    <xf borderId="0" fillId="0" fontId="9" numFmtId="0" xfId="0" applyAlignment="1" applyFont="1">
      <alignment horizontal="center" readingOrder="0"/>
    </xf>
    <xf borderId="0" fillId="0" fontId="10" numFmtId="0" xfId="0" applyAlignment="1" applyFont="1">
      <alignment vertical="bottom"/>
    </xf>
    <xf borderId="0" fillId="2" fontId="11" numFmtId="165" xfId="0" applyAlignment="1" applyFont="1" applyNumberFormat="1">
      <alignment readingOrder="0"/>
    </xf>
    <xf borderId="0" fillId="0" fontId="10" numFmtId="0" xfId="0" applyFont="1"/>
    <xf borderId="0" fillId="0" fontId="12" numFmtId="0" xfId="0" applyAlignment="1" applyFont="1">
      <alignment horizontal="center" readingOrder="0"/>
    </xf>
    <xf borderId="0" fillId="4" fontId="9" numFmtId="0" xfId="0" applyAlignment="1" applyFont="1">
      <alignment readingOrder="0"/>
    </xf>
    <xf borderId="0" fillId="4" fontId="9" numFmtId="0" xfId="0" applyFont="1"/>
    <xf borderId="0" fillId="4" fontId="3" numFmtId="0" xfId="0" applyAlignment="1" applyFont="1">
      <alignment readingOrder="0"/>
    </xf>
    <xf borderId="0" fillId="4" fontId="13" numFmtId="0" xfId="0" applyAlignment="1" applyFont="1">
      <alignment readingOrder="0"/>
    </xf>
    <xf borderId="0" fillId="0" fontId="11" numFmtId="0" xfId="0" applyAlignment="1" applyFont="1">
      <alignment vertical="bottom"/>
    </xf>
    <xf borderId="0" fillId="0" fontId="14" numFmtId="165" xfId="0" applyAlignment="1" applyFont="1" applyNumberFormat="1">
      <alignment horizontal="right" vertical="bottom"/>
    </xf>
    <xf borderId="0" fillId="0" fontId="15" numFmtId="0" xfId="0" applyFont="1"/>
    <xf borderId="0" fillId="2" fontId="3" numFmtId="0" xfId="0" applyFont="1"/>
    <xf borderId="0" fillId="0" fontId="16" numFmtId="0" xfId="0" applyAlignment="1" applyFont="1">
      <alignment readingOrder="0"/>
    </xf>
    <xf borderId="0" fillId="2" fontId="17" numFmtId="165" xfId="0" applyAlignment="1" applyFont="1" applyNumberFormat="1">
      <alignment horizontal="right" readingOrder="0"/>
    </xf>
    <xf borderId="0" fillId="2" fontId="18" numFmtId="0" xfId="0" applyFont="1"/>
    <xf borderId="0" fillId="0" fontId="1" numFmtId="0" xfId="0" applyAlignment="1" applyFont="1">
      <alignment horizontal="right"/>
    </xf>
    <xf borderId="0" fillId="0" fontId="19" numFmtId="0" xfId="0" applyAlignment="1" applyFont="1">
      <alignment readingOrder="0"/>
    </xf>
    <xf borderId="0" fillId="0" fontId="9" numFmtId="0" xfId="0" applyAlignment="1" applyFont="1">
      <alignment readingOrder="0"/>
    </xf>
    <xf borderId="0" fillId="2" fontId="3" numFmtId="0" xfId="0" applyAlignment="1" applyFont="1">
      <alignment readingOrder="0"/>
    </xf>
    <xf borderId="0" fillId="0" fontId="20" numFmtId="0" xfId="0" applyAlignment="1" applyFont="1">
      <alignment horizontal="left"/>
    </xf>
    <xf borderId="0" fillId="6" fontId="21" numFmtId="0" xfId="0" applyFill="1" applyFont="1"/>
    <xf borderId="0" fillId="6" fontId="20" numFmtId="0" xfId="0" applyFont="1"/>
    <xf borderId="0" fillId="0" fontId="10" numFmtId="0" xfId="0" applyAlignment="1" applyFont="1">
      <alignment horizontal="left" readingOrder="0"/>
    </xf>
    <xf borderId="0" fillId="0" fontId="10"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0" fontId="10" numFmtId="0" xfId="0" applyAlignment="1" applyFont="1">
      <alignment horizontal="left"/>
    </xf>
    <xf borderId="0" fillId="0" fontId="10" numFmtId="0" xfId="0" applyAlignment="1" applyFont="1">
      <alignment readingOrder="0"/>
    </xf>
    <xf borderId="0" fillId="0" fontId="10" numFmtId="0" xfId="0" applyAlignment="1" applyFont="1">
      <alignment horizontal="center"/>
    </xf>
    <xf borderId="0" fillId="6" fontId="1" numFmtId="0" xfId="0" applyFont="1"/>
    <xf borderId="0" fillId="7" fontId="10" numFmtId="0" xfId="0" applyFont="1"/>
    <xf borderId="0" fillId="7" fontId="10" numFmtId="0" xfId="0" applyAlignment="1" applyFont="1">
      <alignment horizontal="center"/>
    </xf>
    <xf borderId="0" fillId="0" fontId="22" numFmtId="0" xfId="0" applyFont="1"/>
    <xf borderId="0" fillId="0" fontId="23" numFmtId="0" xfId="0" applyFont="1"/>
    <xf borderId="0" fillId="2" fontId="24" numFmtId="0" xfId="0" applyFont="1"/>
    <xf borderId="0" fillId="0" fontId="25" numFmtId="0" xfId="0" applyFont="1"/>
    <xf borderId="0" fillId="0" fontId="26" numFmtId="0" xfId="0" applyFont="1"/>
    <xf borderId="0" fillId="0" fontId="24" numFmtId="0" xfId="0" applyFont="1"/>
    <xf borderId="0" fillId="2" fontId="27" numFmtId="0" xfId="0" applyFont="1"/>
    <xf borderId="0" fillId="0" fontId="27" numFmtId="0" xfId="0" applyAlignment="1" applyFont="1">
      <alignment readingOrder="0"/>
    </xf>
    <xf borderId="0" fillId="11" fontId="10" numFmtId="0" xfId="0" applyAlignment="1" applyFill="1" applyFont="1">
      <alignment readingOrder="0" vertical="bottom"/>
    </xf>
    <xf borderId="0" fillId="11" fontId="2" numFmtId="164" xfId="0" applyAlignment="1" applyFont="1" applyNumberFormat="1">
      <alignment horizontal="right" vertical="bottom"/>
    </xf>
    <xf borderId="0" fillId="11" fontId="1" numFmtId="0" xfId="0" applyFont="1"/>
    <xf borderId="0" fillId="11" fontId="10" numFmtId="0" xfId="0" applyAlignment="1" applyFont="1">
      <alignment vertical="bottom"/>
    </xf>
    <xf borderId="0" fillId="11" fontId="1" numFmtId="0" xfId="0" applyAlignment="1" applyFont="1">
      <alignment readingOrder="0" vertical="bottom"/>
    </xf>
    <xf borderId="0" fillId="11" fontId="2" numFmtId="9" xfId="0" applyAlignment="1" applyFont="1" applyNumberFormat="1">
      <alignment horizontal="right" readingOrder="0" vertical="bottom"/>
    </xf>
    <xf borderId="0" fillId="11" fontId="1" numFmtId="0" xfId="0" applyAlignment="1" applyFont="1">
      <alignment vertical="bottom"/>
    </xf>
    <xf borderId="0" fillId="11" fontId="2" numFmtId="9" xfId="0" applyFont="1" applyNumberFormat="1"/>
    <xf borderId="0" fillId="11" fontId="2" numFmtId="9" xfId="0" applyAlignment="1" applyFont="1" applyNumberFormat="1">
      <alignment horizontal="right" vertical="bottom"/>
    </xf>
    <xf borderId="0" fillId="11" fontId="23" numFmtId="0" xfId="0" applyAlignment="1" applyFont="1">
      <alignment vertical="bottom"/>
    </xf>
    <xf borderId="0" fillId="11" fontId="14" numFmtId="9" xfId="0" applyAlignment="1" applyFont="1" applyNumberFormat="1">
      <alignment horizontal="right" vertical="bottom"/>
    </xf>
    <xf borderId="0" fillId="11" fontId="28" numFmtId="0" xfId="0" applyAlignment="1" applyFont="1">
      <alignment vertical="bottom"/>
    </xf>
    <xf borderId="0" fillId="11" fontId="29" numFmtId="164" xfId="0" applyAlignment="1" applyFont="1" applyNumberFormat="1">
      <alignment horizontal="right" vertical="bottom"/>
    </xf>
    <xf borderId="0" fillId="12" fontId="10" numFmtId="0" xfId="0" applyAlignment="1" applyFill="1" applyFont="1">
      <alignment readingOrder="0" vertical="bottom"/>
    </xf>
    <xf borderId="0" fillId="12" fontId="2" numFmtId="164" xfId="0" applyAlignment="1" applyFont="1" applyNumberFormat="1">
      <alignment horizontal="right" vertical="bottom"/>
    </xf>
    <xf borderId="0" fillId="12" fontId="1" numFmtId="0" xfId="0" applyFont="1"/>
    <xf borderId="0" fillId="12" fontId="30" numFmtId="0" xfId="0" applyAlignment="1" applyFont="1">
      <alignment readingOrder="0"/>
    </xf>
    <xf borderId="0" fillId="12" fontId="1" numFmtId="0" xfId="0" applyAlignment="1" applyFont="1">
      <alignment readingOrder="0" vertical="bottom"/>
    </xf>
    <xf borderId="0" fillId="12" fontId="10" numFmtId="0" xfId="0" applyAlignment="1" applyFont="1">
      <alignment vertical="bottom"/>
    </xf>
    <xf borderId="0" fillId="6" fontId="10" numFmtId="0" xfId="0" applyAlignment="1" applyFont="1">
      <alignment horizontal="center"/>
    </xf>
    <xf borderId="0" fillId="11" fontId="11" numFmtId="9" xfId="0" applyAlignment="1" applyFont="1" applyNumberFormat="1">
      <alignment horizontal="right" vertical="bottom"/>
    </xf>
    <xf borderId="0" fillId="4" fontId="10" numFmtId="0" xfId="0" applyAlignment="1" applyFont="1">
      <alignment vertical="bottom"/>
    </xf>
    <xf borderId="0" fillId="4" fontId="2" numFmtId="164" xfId="0" applyAlignment="1" applyFont="1" applyNumberFormat="1">
      <alignment horizontal="right" vertical="bottom"/>
    </xf>
    <xf borderId="0" fillId="4" fontId="1" numFmtId="0" xfId="0" applyAlignment="1" applyFont="1">
      <alignment horizontal="right"/>
    </xf>
    <xf borderId="0" fillId="4" fontId="1" numFmtId="0" xfId="0" applyAlignment="1" applyFont="1">
      <alignment readingOrder="0" vertical="bottom"/>
    </xf>
    <xf borderId="0" fillId="4" fontId="2" numFmtId="9" xfId="0" applyAlignment="1" applyFont="1" applyNumberFormat="1">
      <alignment horizontal="right" vertical="bottom"/>
    </xf>
    <xf borderId="0" fillId="4" fontId="1" numFmtId="0" xfId="0" applyAlignment="1" applyFont="1">
      <alignment vertical="bottom"/>
    </xf>
    <xf borderId="0" fillId="4" fontId="2" numFmtId="9" xfId="0" applyFont="1" applyNumberFormat="1"/>
    <xf borderId="0" fillId="6" fontId="10" numFmtId="0" xfId="0" applyFont="1"/>
    <xf borderId="0" fillId="6" fontId="10" numFmtId="0" xfId="0" applyAlignment="1" applyFont="1">
      <alignment horizontal="left"/>
    </xf>
    <xf borderId="0" fillId="4" fontId="23" numFmtId="0" xfId="0" applyAlignment="1" applyFont="1">
      <alignment vertical="bottom"/>
    </xf>
    <xf borderId="0" fillId="4" fontId="14" numFmtId="9" xfId="0" applyAlignment="1" applyFont="1" applyNumberFormat="1">
      <alignment horizontal="right" vertical="bottom"/>
    </xf>
    <xf borderId="0" fillId="4" fontId="10" numFmtId="0" xfId="0" applyAlignment="1" applyFont="1">
      <alignment readingOrder="0" vertical="bottom"/>
    </xf>
    <xf borderId="0" fillId="4" fontId="11" numFmtId="9" xfId="0" applyAlignment="1" applyFont="1" applyNumberFormat="1">
      <alignment horizontal="right" readingOrder="0" vertical="bottom"/>
    </xf>
    <xf borderId="0" fillId="4" fontId="2" numFmtId="9" xfId="0" applyAlignment="1" applyFont="1" applyNumberFormat="1">
      <alignment horizontal="right" readingOrder="0" vertical="bottom"/>
    </xf>
    <xf borderId="0" fillId="4" fontId="31" numFmtId="166" xfId="0" applyFont="1" applyNumberFormat="1"/>
    <xf borderId="0" fillId="4" fontId="20" numFmtId="0" xfId="0" applyAlignment="1" applyFont="1">
      <alignment horizontal="left"/>
    </xf>
    <xf borderId="0" fillId="0" fontId="19" numFmtId="0" xfId="0" applyAlignment="1" applyFont="1">
      <alignment horizontal="center" readingOrder="0"/>
    </xf>
    <xf borderId="0" fillId="0" fontId="32" numFmtId="0" xfId="0" applyAlignment="1" applyFont="1">
      <alignment readingOrder="0"/>
    </xf>
    <xf borderId="0" fillId="10" fontId="33" numFmtId="9" xfId="0" applyAlignment="1" applyFont="1" applyNumberFormat="1">
      <alignment horizontal="center" readingOrder="0"/>
    </xf>
    <xf borderId="0" fillId="9" fontId="9" numFmtId="9" xfId="0" applyAlignment="1" applyFont="1" applyNumberFormat="1">
      <alignment horizontal="center" readingOrder="0"/>
    </xf>
    <xf borderId="0" fillId="8" fontId="9" numFmtId="9" xfId="0" applyAlignment="1" applyFont="1" applyNumberFormat="1">
      <alignment horizontal="center" readingOrder="0"/>
    </xf>
    <xf borderId="0" fillId="13" fontId="33" numFmtId="9" xfId="0" applyAlignment="1" applyFill="1" applyFont="1" applyNumberFormat="1">
      <alignment horizontal="center" readingOrder="0"/>
    </xf>
    <xf borderId="0" fillId="0" fontId="9" numFmtId="0" xfId="0" applyAlignment="1" applyFont="1">
      <alignment horizontal="center"/>
    </xf>
    <xf borderId="0" fillId="3" fontId="9" numFmtId="0" xfId="0" applyAlignment="1" applyFont="1">
      <alignment readingOrder="0"/>
    </xf>
    <xf borderId="0" fillId="3" fontId="9" numFmtId="0" xfId="0" applyFont="1"/>
    <xf borderId="0" fillId="3" fontId="9" numFmtId="0" xfId="0" applyAlignment="1" applyFont="1">
      <alignment horizontal="left"/>
    </xf>
    <xf borderId="0" fillId="0" fontId="9" numFmtId="0" xfId="0" applyAlignment="1" applyFont="1">
      <alignment horizontal="left"/>
    </xf>
    <xf borderId="0" fillId="0" fontId="9" numFmtId="0" xfId="0" applyAlignment="1" applyFont="1">
      <alignment vertical="center"/>
    </xf>
    <xf borderId="0" fillId="0" fontId="9" numFmtId="0" xfId="0" applyAlignment="1" applyFont="1">
      <alignment horizontal="left" vertical="center"/>
    </xf>
    <xf borderId="0" fillId="0" fontId="34" numFmtId="0" xfId="0" applyAlignment="1" applyFont="1">
      <alignment horizontal="center" readingOrder="0" vertical="center"/>
    </xf>
    <xf borderId="0" fillId="6" fontId="9" numFmtId="0" xfId="0" applyAlignment="1" applyFont="1">
      <alignment readingOrder="0"/>
    </xf>
    <xf borderId="0" fillId="0" fontId="9" numFmtId="0" xfId="0" applyAlignment="1" applyFont="1">
      <alignment readingOrder="0" vertical="center"/>
    </xf>
    <xf borderId="0" fillId="11" fontId="9" numFmtId="0" xfId="0" applyAlignment="1" applyFont="1">
      <alignment readingOrder="0" vertical="center"/>
    </xf>
    <xf borderId="0" fillId="11" fontId="9" numFmtId="0" xfId="0" applyFont="1"/>
    <xf borderId="0" fillId="11" fontId="9" numFmtId="0" xfId="0" applyAlignment="1" applyFont="1">
      <alignment readingOrder="0"/>
    </xf>
    <xf borderId="0" fillId="5" fontId="19" numFmtId="0" xfId="0" applyAlignment="1" applyFont="1">
      <alignment readingOrder="0" vertical="center"/>
    </xf>
    <xf borderId="0" fillId="5" fontId="19" numFmtId="0" xfId="0" applyFont="1"/>
    <xf borderId="0" fillId="5" fontId="19" numFmtId="0" xfId="0" applyAlignment="1" applyFont="1">
      <alignment horizontal="left"/>
    </xf>
    <xf borderId="0" fillId="5" fontId="9" numFmtId="0" xfId="0" applyFont="1"/>
    <xf borderId="0" fillId="0" fontId="19" numFmtId="0" xfId="0" applyAlignment="1" applyFont="1">
      <alignment horizontal="left" readingOrder="0"/>
    </xf>
    <xf borderId="0" fillId="14" fontId="19" numFmtId="0" xfId="0" applyAlignment="1" applyFill="1" applyFont="1">
      <alignment horizontal="center" readingOrder="0"/>
    </xf>
    <xf borderId="0" fillId="6" fontId="10" numFmtId="0" xfId="0" applyAlignment="1" applyFont="1">
      <alignment horizontal="center" readingOrder="0" vertical="bottom"/>
    </xf>
    <xf borderId="0" fillId="0" fontId="10" numFmtId="0" xfId="0" applyAlignment="1" applyFont="1">
      <alignment horizontal="center" vertical="bottom"/>
    </xf>
    <xf borderId="0" fillId="0" fontId="10" numFmtId="0" xfId="0" applyAlignment="1" applyFont="1">
      <alignment horizontal="center" readingOrder="0" vertical="bottom"/>
    </xf>
    <xf borderId="0" fillId="0" fontId="9" numFmtId="0" xfId="0" applyAlignment="1" applyFont="1">
      <alignment horizontal="left" readingOrder="0"/>
    </xf>
    <xf borderId="0" fillId="11" fontId="9" numFmtId="164" xfId="0" applyFont="1" applyNumberFormat="1"/>
    <xf borderId="0" fillId="0" fontId="9" numFmtId="164" xfId="0" applyAlignment="1" applyFont="1" applyNumberFormat="1">
      <alignment horizontal="right" readingOrder="0"/>
    </xf>
    <xf borderId="0" fillId="6" fontId="1" numFmtId="164" xfId="0" applyAlignment="1" applyFont="1" applyNumberFormat="1">
      <alignment horizontal="right" vertical="bottom"/>
    </xf>
    <xf borderId="0" fillId="11" fontId="9" numFmtId="10" xfId="0" applyAlignment="1" applyFont="1" applyNumberFormat="1">
      <alignment horizontal="center" readingOrder="0"/>
    </xf>
    <xf borderId="0" fillId="6" fontId="1" numFmtId="167" xfId="0" applyAlignment="1" applyFont="1" applyNumberFormat="1">
      <alignment horizontal="center" vertical="bottom"/>
    </xf>
    <xf borderId="0" fillId="7" fontId="9" numFmtId="0" xfId="0" applyAlignment="1" applyFont="1">
      <alignment horizontal="center" readingOrder="0"/>
    </xf>
    <xf borderId="0" fillId="0" fontId="1" numFmtId="0" xfId="0" applyAlignment="1" applyFont="1">
      <alignment horizontal="center" vertical="bottom"/>
    </xf>
    <xf borderId="0" fillId="11" fontId="9" numFmtId="2" xfId="0" applyAlignment="1" applyFont="1" applyNumberFormat="1">
      <alignment horizontal="center" readingOrder="0"/>
    </xf>
    <xf borderId="0" fillId="0" fontId="1" numFmtId="4" xfId="0" applyAlignment="1" applyFont="1" applyNumberFormat="1">
      <alignment horizontal="center" vertical="bottom"/>
    </xf>
    <xf borderId="0" fillId="15" fontId="9" numFmtId="0" xfId="0" applyAlignment="1" applyFill="1" applyFont="1">
      <alignment horizontal="center" readingOrder="0"/>
    </xf>
    <xf borderId="0" fillId="5" fontId="9" numFmtId="0" xfId="0" applyAlignment="1" applyFont="1">
      <alignment horizontal="center" readingOrder="0"/>
    </xf>
    <xf borderId="0" fillId="7" fontId="1" numFmtId="167" xfId="0" applyAlignment="1" applyFont="1" applyNumberFormat="1">
      <alignment horizontal="center" vertical="bottom"/>
    </xf>
    <xf borderId="0" fillId="10" fontId="1" numFmtId="2" xfId="0" applyAlignment="1" applyFont="1" applyNumberFormat="1">
      <alignment horizontal="center" readingOrder="0" vertical="bottom"/>
    </xf>
    <xf borderId="0" fillId="7" fontId="1" numFmtId="0" xfId="0" applyAlignment="1" applyFont="1">
      <alignment horizontal="center" vertical="bottom"/>
    </xf>
    <xf borderId="0" fillId="5" fontId="9" numFmtId="0" xfId="0" applyAlignment="1" applyFont="1">
      <alignment horizontal="left" readingOrder="0"/>
    </xf>
    <xf borderId="0" fillId="9" fontId="9" numFmtId="0" xfId="0" applyAlignment="1" applyFont="1">
      <alignment horizontal="left" readingOrder="0"/>
    </xf>
    <xf borderId="0" fillId="5" fontId="1" numFmtId="167" xfId="0" applyAlignment="1" applyFont="1" applyNumberFormat="1">
      <alignment horizontal="center" vertical="bottom"/>
    </xf>
    <xf borderId="0" fillId="5" fontId="9" numFmtId="2" xfId="0" applyAlignment="1" applyFont="1" applyNumberFormat="1">
      <alignment horizontal="center" readingOrder="0"/>
    </xf>
    <xf borderId="0" fillId="10" fontId="9" numFmtId="0" xfId="0" applyAlignment="1" applyFont="1">
      <alignment horizontal="center" readingOrder="0"/>
    </xf>
    <xf borderId="0" fillId="11" fontId="1" numFmtId="167" xfId="0" applyAlignment="1" applyFont="1" applyNumberFormat="1">
      <alignment horizontal="center" vertical="bottom"/>
    </xf>
    <xf borderId="0" fillId="7" fontId="9" numFmtId="2" xfId="0" applyAlignment="1" applyFont="1" applyNumberFormat="1">
      <alignment horizontal="center" readingOrder="0"/>
    </xf>
    <xf borderId="0" fillId="2" fontId="1" numFmtId="167" xfId="0" applyAlignment="1" applyFont="1" applyNumberFormat="1">
      <alignment horizontal="center" vertical="bottom"/>
    </xf>
    <xf borderId="0" fillId="2" fontId="9" numFmtId="2" xfId="0" applyAlignment="1" applyFont="1" applyNumberFormat="1">
      <alignment horizontal="center" readingOrder="0"/>
    </xf>
    <xf borderId="0" fillId="0" fontId="9" numFmtId="0" xfId="0" applyAlignment="1" applyFont="1">
      <alignment horizontal="left" readingOrder="0"/>
    </xf>
    <xf borderId="0" fillId="10" fontId="1" numFmtId="167" xfId="0" applyAlignment="1" applyFont="1" applyNumberFormat="1">
      <alignment horizontal="center" vertical="bottom"/>
    </xf>
    <xf borderId="0" fillId="10" fontId="9" numFmtId="2" xfId="0" applyAlignment="1" applyFont="1" applyNumberFormat="1">
      <alignment horizontal="center" readingOrder="0"/>
    </xf>
    <xf borderId="0" fillId="10" fontId="1" numFmtId="0" xfId="0" applyAlignment="1" applyFont="1">
      <alignment horizontal="center" vertical="bottom"/>
    </xf>
    <xf borderId="0" fillId="11" fontId="9" numFmtId="0" xfId="0" applyAlignment="1" applyFont="1">
      <alignment horizontal="center" readingOrder="0"/>
    </xf>
    <xf borderId="0" fillId="0" fontId="1" numFmtId="2" xfId="0" applyAlignment="1" applyFont="1" applyNumberFormat="1">
      <alignment horizontal="center" vertical="bottom"/>
    </xf>
    <xf borderId="0" fillId="0" fontId="9" numFmtId="10" xfId="0" applyAlignment="1" applyFont="1" applyNumberFormat="1">
      <alignment horizontal="center" readingOrder="0"/>
    </xf>
    <xf borderId="0" fillId="7" fontId="9" numFmtId="0" xfId="0" applyAlignment="1" applyFont="1">
      <alignment horizontal="left" readingOrder="0"/>
    </xf>
    <xf borderId="0" fillId="7" fontId="9" numFmtId="10" xfId="0" applyAlignment="1" applyFont="1" applyNumberFormat="1">
      <alignment horizontal="center" readingOrder="0"/>
    </xf>
    <xf borderId="0" fillId="0" fontId="35" numFmtId="0" xfId="0" applyAlignment="1" applyFont="1">
      <alignment horizontal="left" readingOrder="0"/>
    </xf>
    <xf borderId="0" fillId="7" fontId="9" numFmtId="0" xfId="0" applyAlignment="1" applyFont="1">
      <alignment readingOrder="0"/>
    </xf>
    <xf borderId="0" fillId="2" fontId="9" numFmtId="10" xfId="0" applyAlignment="1" applyFont="1" applyNumberFormat="1">
      <alignment horizontal="center" readingOrder="0"/>
    </xf>
    <xf borderId="0" fillId="0" fontId="1" numFmtId="4" xfId="0" applyAlignment="1" applyFont="1" applyNumberFormat="1">
      <alignment horizontal="center" readingOrder="0" vertical="bottom"/>
    </xf>
    <xf borderId="0" fillId="11" fontId="1" numFmtId="0" xfId="0" applyAlignment="1" applyFont="1">
      <alignment horizontal="center" vertical="bottom"/>
    </xf>
    <xf borderId="0" fillId="5" fontId="9" numFmtId="10" xfId="0" applyAlignment="1" applyFont="1" applyNumberFormat="1">
      <alignment horizontal="center" readingOrder="0"/>
    </xf>
    <xf borderId="0" fillId="11" fontId="1" numFmtId="2" xfId="0" applyAlignment="1" applyFont="1" applyNumberFormat="1">
      <alignment horizontal="center" vertical="bottom"/>
    </xf>
    <xf borderId="0" fillId="0" fontId="3" numFmtId="0" xfId="0" applyAlignment="1" applyFont="1">
      <alignment horizontal="left" readingOrder="0"/>
    </xf>
    <xf borderId="0" fillId="0" fontId="9" numFmtId="164" xfId="0" applyFont="1" applyNumberFormat="1"/>
    <xf borderId="0" fillId="0" fontId="1" numFmtId="164" xfId="0" applyAlignment="1" applyFont="1" applyNumberFormat="1">
      <alignment horizontal="right" vertical="bottom"/>
    </xf>
    <xf borderId="0" fillId="0" fontId="36" numFmtId="0" xfId="0" applyAlignment="1" applyFont="1">
      <alignment horizontal="center" vertical="bottom"/>
    </xf>
    <xf borderId="0" fillId="0" fontId="37" numFmtId="0" xfId="0" applyAlignment="1" applyFont="1">
      <alignment horizontal="center" vertical="bottom"/>
    </xf>
    <xf borderId="0" fillId="0" fontId="37" numFmtId="0" xfId="0" applyAlignment="1" applyFont="1">
      <alignment horizontal="center" readingOrder="0" vertical="bottom"/>
    </xf>
    <xf borderId="0" fillId="0" fontId="38" numFmtId="0" xfId="0" applyAlignment="1" applyFont="1">
      <alignment horizontal="center" vertical="bottom"/>
    </xf>
    <xf borderId="0" fillId="0" fontId="37" numFmtId="0" xfId="0" applyAlignment="1" applyFont="1">
      <alignment horizontal="center"/>
    </xf>
    <xf borderId="0" fillId="0" fontId="39" numFmtId="0" xfId="0" applyAlignment="1" applyFont="1">
      <alignment horizontal="center"/>
    </xf>
    <xf borderId="0" fillId="0" fontId="39" numFmtId="0" xfId="0" applyAlignment="1" applyFont="1">
      <alignment readingOrder="0"/>
    </xf>
    <xf borderId="0" fillId="0" fontId="39" numFmtId="0" xfId="0" applyFont="1"/>
    <xf borderId="0" fillId="0" fontId="39" numFmtId="166" xfId="0" applyFont="1" applyNumberFormat="1"/>
    <xf borderId="0" fillId="2" fontId="40" numFmtId="166" xfId="0" applyAlignment="1" applyFont="1" applyNumberFormat="1">
      <alignment horizontal="right" readingOrder="0"/>
    </xf>
    <xf borderId="0" fillId="0" fontId="41" numFmtId="166" xfId="0" applyAlignment="1" applyFont="1" applyNumberFormat="1">
      <alignment horizontal="right"/>
    </xf>
    <xf borderId="0" fillId="0" fontId="42" numFmtId="166" xfId="0" applyFont="1" applyNumberFormat="1"/>
    <xf borderId="0" fillId="2" fontId="43" numFmtId="10" xfId="0" applyFont="1" applyNumberFormat="1"/>
    <xf borderId="0" fillId="0" fontId="44" numFmtId="0" xfId="0" applyFont="1"/>
    <xf borderId="0" fillId="0" fontId="39" numFmtId="3" xfId="0" applyFont="1" applyNumberFormat="1"/>
    <xf borderId="0" fillId="0" fontId="45" numFmtId="3" xfId="0" applyAlignment="1" applyFont="1" applyNumberFormat="1">
      <alignment readingOrder="0"/>
    </xf>
    <xf borderId="0" fillId="0" fontId="45" numFmtId="166" xfId="0" applyFont="1" applyNumberFormat="1"/>
    <xf borderId="0" fillId="0" fontId="44" numFmtId="10" xfId="0" applyFont="1" applyNumberFormat="1"/>
    <xf borderId="0" fillId="0" fontId="37" numFmtId="166" xfId="0" applyFont="1" applyNumberFormat="1"/>
    <xf borderId="0" fillId="2" fontId="46" numFmtId="166" xfId="0" applyAlignment="1" applyFont="1" applyNumberFormat="1">
      <alignment horizontal="right"/>
    </xf>
    <xf borderId="0" fillId="0" fontId="41" numFmtId="166" xfId="0" applyFont="1" applyNumberFormat="1"/>
    <xf borderId="0" fillId="0" fontId="44" numFmtId="164" xfId="0" applyFont="1" applyNumberFormat="1"/>
    <xf borderId="0" fillId="0" fontId="37" numFmtId="0" xfId="0" applyFont="1"/>
    <xf borderId="0" fillId="0" fontId="39" numFmtId="168" xfId="0" applyFont="1" applyNumberFormat="1"/>
    <xf borderId="0" fillId="2" fontId="47" numFmtId="166" xfId="0" applyAlignment="1" applyFont="1" applyNumberFormat="1">
      <alignment horizontal="center"/>
    </xf>
    <xf borderId="0" fillId="0" fontId="48" numFmtId="0" xfId="0" applyAlignment="1" applyFont="1">
      <alignment horizontal="center" vertical="bottom"/>
    </xf>
    <xf borderId="1" fillId="3" fontId="36" numFmtId="0" xfId="0" applyAlignment="1" applyBorder="1" applyFont="1">
      <alignment horizontal="center" vertical="bottom"/>
    </xf>
    <xf borderId="0" fillId="0" fontId="39" numFmtId="2" xfId="0" applyAlignment="1" applyFont="1" applyNumberFormat="1">
      <alignment horizontal="right"/>
    </xf>
    <xf borderId="1" fillId="3" fontId="49" numFmtId="164" xfId="0" applyAlignment="1" applyBorder="1" applyFont="1" applyNumberFormat="1">
      <alignment horizontal="right" readingOrder="0"/>
    </xf>
    <xf borderId="0" fillId="2" fontId="50" numFmtId="164" xfId="0" applyAlignment="1" applyFont="1" applyNumberFormat="1">
      <alignment horizontal="right"/>
    </xf>
    <xf borderId="0" fillId="0" fontId="39" numFmtId="169" xfId="0" applyAlignment="1" applyFont="1" applyNumberFormat="1">
      <alignment horizontal="right" readingOrder="0"/>
    </xf>
    <xf borderId="0" fillId="0" fontId="39" numFmtId="166" xfId="0" applyAlignment="1" applyFont="1" applyNumberFormat="1">
      <alignment readingOrder="0"/>
    </xf>
    <xf borderId="0" fillId="0" fontId="41" numFmtId="166" xfId="0" applyAlignment="1" applyFont="1" applyNumberFormat="1">
      <alignment horizontal="right" readingOrder="0"/>
    </xf>
    <xf borderId="0" fillId="2" fontId="51" numFmtId="169" xfId="0" applyAlignment="1" applyFont="1" applyNumberFormat="1">
      <alignment horizontal="right" readingOrder="0"/>
    </xf>
    <xf borderId="1" fillId="3" fontId="49" numFmtId="170" xfId="0" applyAlignment="1" applyBorder="1" applyFont="1" applyNumberFormat="1">
      <alignment horizontal="right" readingOrder="0"/>
    </xf>
    <xf borderId="0" fillId="0" fontId="37" numFmtId="0" xfId="0" applyAlignment="1" applyFont="1">
      <alignment horizontal="center" readingOrder="0"/>
    </xf>
    <xf borderId="1" fillId="3" fontId="49" numFmtId="0" xfId="0" applyAlignment="1" applyBorder="1" applyFont="1">
      <alignment horizontal="right"/>
    </xf>
    <xf borderId="0" fillId="0" fontId="36" numFmtId="166" xfId="0" applyAlignment="1" applyFont="1" applyNumberFormat="1">
      <alignment horizontal="right"/>
    </xf>
    <xf borderId="0" fillId="0" fontId="52" numFmtId="166" xfId="0" applyFont="1" applyNumberFormat="1"/>
    <xf borderId="0" fillId="2" fontId="50" numFmtId="0" xfId="0" applyAlignment="1" applyFont="1">
      <alignment horizontal="right"/>
    </xf>
    <xf borderId="0" fillId="0" fontId="53" numFmtId="0" xfId="0" applyFont="1"/>
    <xf borderId="0" fillId="0" fontId="54" numFmtId="0" xfId="0" applyAlignment="1" applyFont="1">
      <alignment horizontal="left"/>
    </xf>
    <xf borderId="0" fillId="0" fontId="55" numFmtId="164" xfId="0" applyAlignment="1" applyFont="1" applyNumberFormat="1">
      <alignment horizontal="center"/>
    </xf>
    <xf borderId="0" fillId="0" fontId="39" numFmtId="0" xfId="0" applyAlignment="1" applyFont="1">
      <alignment horizontal="left"/>
    </xf>
    <xf borderId="0" fillId="0" fontId="39" numFmtId="164" xfId="0" applyFont="1" applyNumberFormat="1"/>
    <xf borderId="0" fillId="0" fontId="39" numFmtId="171" xfId="0" applyFont="1" applyNumberFormat="1"/>
    <xf borderId="0" fillId="0" fontId="55" numFmtId="166" xfId="0" applyAlignment="1" applyFont="1" applyNumberFormat="1">
      <alignment horizontal="center"/>
    </xf>
    <xf borderId="0" fillId="0" fontId="56" numFmtId="0" xfId="0" applyFont="1"/>
    <xf borderId="0" fillId="0" fontId="57" numFmtId="0" xfId="0" applyFont="1"/>
    <xf borderId="0" fillId="0" fontId="58" numFmtId="0" xfId="0" applyFont="1"/>
    <xf borderId="0" fillId="0" fontId="59" numFmtId="0" xfId="0" applyFont="1"/>
    <xf borderId="0" fillId="2" fontId="60" numFmtId="0" xfId="0" applyFont="1"/>
    <xf borderId="0" fillId="0" fontId="56" numFmtId="0" xfId="0" applyAlignment="1" applyFont="1">
      <alignment readingOrder="0"/>
    </xf>
    <xf borderId="0" fillId="2" fontId="61" numFmtId="0" xfId="0" applyAlignment="1" applyFill="1" applyFont="1">
      <alignment readingOrder="0"/>
    </xf>
    <xf borderId="0" fillId="0" fontId="62" numFmtId="0" xfId="0" applyFont="1"/>
    <xf borderId="0" fillId="2" fontId="62" numFmtId="0" xfId="0" applyFont="1"/>
    <xf borderId="0" fillId="2" fontId="2" numFmtId="0" xfId="0" applyFont="1"/>
    <xf borderId="0" fillId="2" fontId="63" numFmtId="0" xfId="0" applyFont="1"/>
    <xf borderId="0" fillId="8" fontId="28" numFmtId="0" xfId="0" applyFont="1"/>
    <xf borderId="0" fillId="8" fontId="10" numFmtId="0" xfId="0" applyFont="1"/>
    <xf borderId="0" fillId="0" fontId="64" numFmtId="10" xfId="0" applyFont="1" applyNumberFormat="1"/>
    <xf borderId="0" fillId="0" fontId="1" numFmtId="166" xfId="0" applyFont="1" applyNumberFormat="1"/>
    <xf borderId="0" fillId="0" fontId="64" numFmtId="166" xfId="0" applyFont="1" applyNumberFormat="1"/>
    <xf borderId="0" fillId="6" fontId="64" numFmtId="166" xfId="0" applyFont="1" applyNumberFormat="1"/>
    <xf borderId="0" fillId="0" fontId="21" numFmtId="0" xfId="0" applyFont="1"/>
    <xf borderId="0" fillId="6" fontId="5" numFmtId="166" xfId="0" applyAlignment="1" applyFont="1" applyNumberFormat="1">
      <alignment readingOrder="0"/>
    </xf>
    <xf borderId="0" fillId="0" fontId="64" numFmtId="0" xfId="0" applyFont="1"/>
    <xf borderId="0" fillId="0" fontId="65" numFmtId="10" xfId="0" applyFont="1" applyNumberFormat="1"/>
    <xf borderId="0" fillId="0" fontId="65" numFmtId="166" xfId="0" applyFont="1" applyNumberFormat="1"/>
    <xf borderId="0" fillId="0" fontId="28" numFmtId="166" xfId="0" applyFont="1" applyNumberFormat="1"/>
    <xf borderId="0" fillId="0" fontId="20" numFmtId="0" xfId="0" applyFont="1"/>
    <xf borderId="0" fillId="0" fontId="1" numFmtId="10" xfId="0" applyFont="1" applyNumberFormat="1"/>
    <xf borderId="0" fillId="0" fontId="64" numFmtId="0" xfId="0" applyAlignment="1" applyFont="1">
      <alignment horizontal="right" readingOrder="0"/>
    </xf>
    <xf borderId="0" fillId="0" fontId="1" numFmtId="166" xfId="0" applyAlignment="1" applyFont="1" applyNumberFormat="1">
      <alignment readingOrder="0"/>
    </xf>
    <xf borderId="0" fillId="0" fontId="64" numFmtId="166" xfId="0" applyAlignment="1" applyFont="1" applyNumberFormat="1">
      <alignment readingOrder="0"/>
    </xf>
    <xf borderId="0" fillId="0" fontId="21" numFmtId="166" xfId="0" applyAlignment="1" applyFont="1" applyNumberFormat="1">
      <alignment readingOrder="0"/>
    </xf>
    <xf borderId="0" fillId="2" fontId="5" numFmtId="0" xfId="0" applyAlignment="1" applyFont="1">
      <alignment horizontal="left"/>
    </xf>
    <xf borderId="0" fillId="0" fontId="1" numFmtId="164" xfId="0" applyFont="1" applyNumberFormat="1"/>
    <xf borderId="0" fillId="0" fontId="64" numFmtId="164" xfId="0" applyFont="1" applyNumberFormat="1"/>
    <xf borderId="0" fillId="0" fontId="64" numFmtId="164" xfId="0" applyAlignment="1" applyFont="1" applyNumberFormat="1">
      <alignment readingOrder="0"/>
    </xf>
    <xf borderId="0" fillId="0" fontId="10" numFmtId="166" xfId="0" applyFont="1" applyNumberFormat="1"/>
    <xf borderId="0" fillId="0" fontId="21" numFmtId="166" xfId="0" applyFont="1" applyNumberFormat="1"/>
    <xf borderId="0" fillId="0" fontId="10" numFmtId="164" xfId="0" applyFont="1" applyNumberFormat="1"/>
    <xf borderId="0" fillId="0" fontId="65" numFmtId="164" xfId="0" applyFont="1" applyNumberFormat="1"/>
    <xf borderId="0" fillId="0" fontId="28" numFmtId="166" xfId="0" applyAlignment="1" applyFont="1" applyNumberFormat="1">
      <alignment readingOrder="0"/>
    </xf>
    <xf borderId="0" fillId="0" fontId="28" numFmtId="0" xfId="0" applyFont="1"/>
    <xf borderId="0" fillId="0" fontId="28" numFmtId="0" xfId="0" applyAlignment="1" applyFont="1">
      <alignment readingOrder="0"/>
    </xf>
    <xf borderId="0" fillId="0" fontId="28" numFmtId="0" xfId="0" applyAlignment="1" applyFont="1">
      <alignment horizontal="center"/>
    </xf>
    <xf borderId="0" fillId="0" fontId="28" numFmtId="164" xfId="0" applyAlignment="1" applyFont="1" applyNumberFormat="1">
      <alignment horizontal="right" readingOrder="0"/>
    </xf>
    <xf borderId="0" fillId="2" fontId="45" numFmtId="0" xfId="0" applyAlignment="1" applyFont="1">
      <alignment readingOrder="0"/>
    </xf>
    <xf borderId="0" fillId="11" fontId="10" numFmtId="0" xfId="0" applyAlignment="1" applyFont="1">
      <alignment readingOrder="0" vertical="center"/>
    </xf>
    <xf borderId="0" fillId="11" fontId="20" numFmtId="0" xfId="0" applyFont="1"/>
    <xf borderId="0" fillId="0" fontId="1" numFmtId="3" xfId="0" applyFont="1" applyNumberFormat="1"/>
    <xf borderId="0" fillId="0" fontId="21" numFmtId="164" xfId="0" applyAlignment="1" applyFont="1" applyNumberFormat="1">
      <alignment readingOrder="0"/>
    </xf>
    <xf borderId="0" fillId="0" fontId="21" numFmtId="164" xfId="0" applyFont="1" applyNumberFormat="1"/>
    <xf borderId="0" fillId="0" fontId="21" numFmtId="10" xfId="0" applyAlignment="1" applyFont="1" applyNumberFormat="1">
      <alignment readingOrder="0"/>
    </xf>
    <xf borderId="0" fillId="0" fontId="66" numFmtId="0" xfId="0" applyAlignment="1" applyFont="1">
      <alignment horizontal="center" readingOrder="0"/>
    </xf>
    <xf borderId="0" fillId="0" fontId="1" numFmtId="0" xfId="0" applyAlignment="1" applyFont="1">
      <alignment horizontal="center" readingOrder="0"/>
    </xf>
    <xf borderId="0" fillId="0" fontId="1" numFmtId="164" xfId="0" applyAlignment="1" applyFont="1" applyNumberFormat="1">
      <alignment horizontal="center" readingOrder="0"/>
    </xf>
    <xf borderId="0" fillId="0" fontId="1" numFmtId="3" xfId="0" applyAlignment="1" applyFont="1" applyNumberFormat="1">
      <alignment horizontal="center" readingOrder="0"/>
    </xf>
    <xf borderId="0" fillId="0" fontId="1" numFmtId="164" xfId="0" applyAlignment="1" applyFont="1" applyNumberFormat="1">
      <alignment horizontal="center"/>
    </xf>
    <xf borderId="0" fillId="0" fontId="21" numFmtId="164" xfId="0" applyAlignment="1" applyFont="1" applyNumberFormat="1">
      <alignment horizontal="center" readingOrder="0"/>
    </xf>
    <xf borderId="0" fillId="0" fontId="10" numFmtId="172" xfId="0" applyAlignment="1" applyFont="1" applyNumberFormat="1">
      <alignment horizontal="center" readingOrder="0"/>
    </xf>
    <xf borderId="0" fillId="0" fontId="20" numFmtId="4" xfId="0" applyAlignment="1" applyFont="1" applyNumberFormat="1">
      <alignment horizontal="center" readingOrder="0"/>
    </xf>
    <xf borderId="0" fillId="0" fontId="20" numFmtId="3" xfId="0" applyAlignment="1" applyFont="1" applyNumberFormat="1">
      <alignment horizontal="center" readingOrder="0"/>
    </xf>
    <xf borderId="0" fillId="0" fontId="10" numFmtId="164" xfId="0" applyAlignment="1" applyFont="1" applyNumberFormat="1">
      <alignment readingOrder="0"/>
    </xf>
    <xf borderId="0" fillId="0" fontId="1" numFmtId="2" xfId="0" applyAlignment="1" applyFont="1" applyNumberFormat="1">
      <alignment horizontal="center" readingOrder="0"/>
    </xf>
    <xf borderId="0" fillId="0" fontId="1" numFmtId="173" xfId="0" applyAlignment="1" applyFont="1" applyNumberFormat="1">
      <alignment horizontal="center" readingOrder="0"/>
    </xf>
    <xf borderId="0" fillId="0" fontId="9" numFmtId="2" xfId="0" applyAlignment="1" applyFont="1" applyNumberFormat="1">
      <alignment horizontal="center" readingOrder="0"/>
    </xf>
    <xf borderId="0" fillId="8" fontId="1" numFmtId="0" xfId="0" applyAlignment="1" applyFont="1">
      <alignment readingOrder="0"/>
    </xf>
    <xf borderId="0" fillId="8" fontId="9" numFmtId="174" xfId="0" applyAlignment="1" applyFont="1" applyNumberFormat="1">
      <alignment horizontal="center" readingOrder="0"/>
    </xf>
    <xf borderId="0" fillId="8" fontId="19" numFmtId="3" xfId="0" applyAlignment="1" applyFont="1" applyNumberFormat="1">
      <alignment horizontal="center" readingOrder="0"/>
    </xf>
    <xf borderId="0" fillId="0" fontId="9" numFmtId="174" xfId="0" applyAlignment="1" applyFont="1" applyNumberFormat="1">
      <alignment horizontal="center" readingOrder="0"/>
    </xf>
    <xf borderId="0" fillId="11" fontId="1" numFmtId="0" xfId="0" applyAlignment="1" applyFont="1">
      <alignment readingOrder="0"/>
    </xf>
    <xf borderId="0" fillId="11" fontId="3" numFmtId="0" xfId="0" applyAlignment="1" applyFont="1">
      <alignment readingOrder="0"/>
    </xf>
    <xf borderId="0" fillId="6" fontId="10" numFmtId="0" xfId="0" applyAlignment="1" applyFont="1">
      <alignment readingOrder="0"/>
    </xf>
    <xf borderId="0" fillId="6" fontId="1" numFmtId="0" xfId="0" applyAlignment="1" applyFont="1">
      <alignment readingOrder="0"/>
    </xf>
    <xf borderId="0" fillId="0" fontId="10" numFmtId="9" xfId="0" applyFont="1" applyNumberFormat="1"/>
    <xf borderId="0" fillId="5" fontId="9" numFmtId="0" xfId="0" applyAlignment="1" applyFont="1">
      <alignment readingOrder="0"/>
    </xf>
    <xf borderId="0" fillId="3" fontId="19" numFmtId="0" xfId="0" applyAlignment="1" applyFont="1">
      <alignment readingOrder="0"/>
    </xf>
    <xf borderId="0" fillId="3" fontId="19" numFmtId="0" xfId="0" applyFont="1"/>
    <xf borderId="0" fillId="0" fontId="1" numFmtId="0" xfId="0" applyAlignment="1" applyFont="1">
      <alignment horizontal="center"/>
    </xf>
    <xf borderId="0" fillId="0" fontId="9" numFmtId="10" xfId="0" applyAlignment="1" applyFont="1" applyNumberFormat="1">
      <alignment readingOrder="0"/>
    </xf>
    <xf borderId="0" fillId="11" fontId="9" numFmtId="10" xfId="0" applyAlignment="1" applyFont="1" applyNumberFormat="1">
      <alignment readingOrder="0"/>
    </xf>
    <xf borderId="0" fillId="2" fontId="67" numFmtId="0" xfId="0" applyAlignment="1" applyFont="1">
      <alignment readingOrder="0"/>
    </xf>
    <xf borderId="0" fillId="6" fontId="9" numFmtId="2" xfId="0" applyAlignment="1" applyFont="1" applyNumberFormat="1">
      <alignment readingOrder="0"/>
    </xf>
    <xf borderId="0" fillId="11" fontId="9" numFmtId="2" xfId="0" applyAlignment="1" applyFont="1" applyNumberFormat="1">
      <alignment readingOrder="0"/>
    </xf>
    <xf borderId="0" fillId="4" fontId="67" numFmtId="0" xfId="0" applyAlignment="1" applyFont="1">
      <alignment readingOrder="0"/>
    </xf>
    <xf borderId="0" fillId="6" fontId="1" numFmtId="0" xfId="0" applyAlignment="1" applyFont="1">
      <alignment horizontal="center"/>
    </xf>
    <xf borderId="0" fillId="11" fontId="1" numFmtId="0" xfId="0" applyAlignment="1" applyFont="1">
      <alignment horizontal="center"/>
    </xf>
    <xf borderId="0" fillId="11" fontId="1" numFmtId="10" xfId="0" applyFont="1" applyNumberFormat="1"/>
    <xf borderId="0" fillId="6" fontId="1" numFmtId="0" xfId="0" applyAlignment="1" applyFont="1">
      <alignment horizontal="right" readingOrder="0"/>
    </xf>
    <xf borderId="0" fillId="11" fontId="1" numFmtId="0" xfId="0" applyAlignment="1" applyFont="1">
      <alignment horizontal="right" readingOrder="0"/>
    </xf>
    <xf borderId="0" fillId="7" fontId="1" numFmtId="0" xfId="0" applyAlignment="1" applyFont="1">
      <alignment horizontal="center"/>
    </xf>
    <xf borderId="0" fillId="4" fontId="10" numFmtId="0" xfId="0" applyAlignment="1" applyFont="1">
      <alignment readingOrder="0"/>
    </xf>
    <xf borderId="0" fillId="0" fontId="1" numFmtId="2" xfId="0" applyAlignment="1" applyFont="1" applyNumberFormat="1">
      <alignment horizontal="right" readingOrder="0"/>
    </xf>
    <xf borderId="0" fillId="6" fontId="9" numFmtId="10" xfId="0" applyAlignment="1" applyFont="1" applyNumberFormat="1">
      <alignment horizontal="right" readingOrder="0"/>
    </xf>
    <xf borderId="0" fillId="11" fontId="9" numFmtId="10" xfId="0" applyAlignment="1" applyFont="1" applyNumberFormat="1">
      <alignment horizontal="right" readingOrder="0"/>
    </xf>
    <xf borderId="0" fillId="6" fontId="9" numFmtId="2" xfId="0" applyAlignment="1" applyFont="1" applyNumberFormat="1">
      <alignment horizontal="right" readingOrder="0"/>
    </xf>
    <xf borderId="0" fillId="11" fontId="9" numFmtId="0" xfId="0" applyAlignment="1" applyFont="1">
      <alignment horizontal="right" readingOrder="0"/>
    </xf>
    <xf borderId="0" fillId="6" fontId="9" numFmtId="0" xfId="0" applyAlignment="1" applyFont="1">
      <alignment horizontal="right" readingOrder="0"/>
    </xf>
    <xf borderId="0" fillId="6" fontId="9" numFmtId="167" xfId="0" applyAlignment="1" applyFont="1" applyNumberFormat="1">
      <alignment horizontal="right" readingOrder="0"/>
    </xf>
    <xf borderId="0" fillId="6" fontId="9" numFmtId="0" xfId="0" applyFont="1"/>
    <xf borderId="0" fillId="3" fontId="9" numFmtId="0" xfId="0" applyAlignment="1" applyFont="1">
      <alignment horizontal="right" readingOrder="0"/>
    </xf>
    <xf borderId="0" fillId="6" fontId="1" numFmtId="0" xfId="0" applyAlignment="1" applyFont="1">
      <alignment horizontal="right" readingOrder="0"/>
    </xf>
    <xf borderId="0" fillId="6" fontId="1" numFmtId="0" xfId="0" applyAlignment="1" applyFont="1">
      <alignment horizontal="center" readingOrder="0"/>
    </xf>
    <xf borderId="0" fillId="11" fontId="9" numFmtId="4" xfId="0" applyAlignment="1" applyFont="1" applyNumberFormat="1">
      <alignment horizontal="right" readingOrder="0"/>
    </xf>
    <xf borderId="0" fillId="6" fontId="9" numFmtId="4" xfId="0" applyAlignment="1" applyFont="1" applyNumberFormat="1">
      <alignment horizontal="right" readingOrder="0"/>
    </xf>
    <xf borderId="0" fillId="11" fontId="9" numFmtId="2" xfId="0" applyAlignment="1" applyFont="1" applyNumberFormat="1">
      <alignment horizontal="right" readingOrder="0"/>
    </xf>
    <xf borderId="0" fillId="11" fontId="9" numFmtId="167" xfId="0" applyAlignment="1" applyFont="1" applyNumberFormat="1">
      <alignment horizontal="right" readingOrder="0"/>
    </xf>
    <xf borderId="0" fillId="6" fontId="1" numFmtId="4" xfId="0" applyAlignment="1" applyFont="1" applyNumberFormat="1">
      <alignment readingOrder="0"/>
    </xf>
    <xf borderId="0" fillId="6" fontId="1" numFmtId="10" xfId="0" applyAlignment="1" applyFont="1" applyNumberFormat="1">
      <alignment readingOrder="0"/>
    </xf>
    <xf borderId="0" fillId="11" fontId="1" numFmtId="10" xfId="0" applyAlignment="1" applyFont="1" applyNumberFormat="1">
      <alignment readingOrder="0"/>
    </xf>
    <xf borderId="0" fillId="7" fontId="1" numFmtId="0" xfId="0" applyAlignment="1" applyFont="1">
      <alignment horizontal="center" readingOrder="0"/>
    </xf>
    <xf borderId="0" fillId="0" fontId="68" numFmtId="0" xfId="0" applyFont="1"/>
    <xf borderId="0" fillId="0" fontId="36" numFmtId="0" xfId="0" applyAlignment="1" applyFont="1">
      <alignment horizontal="right" vertical="bottom"/>
    </xf>
    <xf borderId="0" fillId="0" fontId="36" numFmtId="164" xfId="0" applyAlignment="1" applyFont="1" applyNumberFormat="1">
      <alignment horizontal="right" vertical="bottom"/>
    </xf>
    <xf borderId="0" fillId="0" fontId="10" numFmtId="164" xfId="0" applyAlignment="1" applyFont="1" applyNumberFormat="1">
      <alignment horizontal="center"/>
    </xf>
    <xf borderId="0" fillId="0" fontId="69" numFmtId="0" xfId="0" applyFont="1"/>
    <xf borderId="0" fillId="0" fontId="45" numFmtId="0" xfId="0" applyAlignment="1" applyFont="1">
      <alignment shrinkToFit="0" wrapText="0"/>
    </xf>
    <xf borderId="0" fillId="0" fontId="70" numFmtId="0" xfId="0" applyFont="1"/>
    <xf borderId="0" fillId="0" fontId="71" numFmtId="164" xfId="0" applyAlignment="1" applyFont="1" applyNumberFormat="1">
      <alignment horizontal="right" shrinkToFit="0" vertical="top" wrapText="0"/>
    </xf>
    <xf borderId="0" fillId="2" fontId="31" numFmtId="164" xfId="0" applyAlignment="1" applyFont="1" applyNumberFormat="1">
      <alignment horizontal="right"/>
    </xf>
    <xf borderId="0" fillId="0" fontId="72" numFmtId="164" xfId="0" applyAlignment="1" applyFont="1" applyNumberFormat="1">
      <alignment horizontal="right" shrinkToFit="0" vertical="top" wrapText="0"/>
    </xf>
    <xf borderId="0" fillId="2" fontId="2" numFmtId="164" xfId="0" applyAlignment="1" applyFont="1" applyNumberFormat="1">
      <alignment horizontal="right"/>
    </xf>
    <xf borderId="0" fillId="0" fontId="45" numFmtId="164" xfId="0" applyAlignment="1" applyFont="1" applyNumberFormat="1">
      <alignment horizontal="right"/>
    </xf>
    <xf borderId="0" fillId="0" fontId="41" numFmtId="0" xfId="0" applyFont="1"/>
    <xf borderId="0" fillId="0" fontId="73" numFmtId="0" xfId="0" applyAlignment="1" applyFont="1">
      <alignment vertical="center"/>
    </xf>
    <xf borderId="0" fillId="0" fontId="69" numFmtId="0" xfId="0" applyAlignment="1" applyFont="1">
      <alignment vertical="center"/>
    </xf>
    <xf borderId="0" fillId="0" fontId="45" numFmtId="0" xfId="0" applyAlignment="1" applyFont="1">
      <alignment shrinkToFit="0" vertical="center" wrapText="0"/>
    </xf>
    <xf borderId="0" fillId="0" fontId="39" numFmtId="3" xfId="0" applyAlignment="1" applyFont="1" applyNumberFormat="1">
      <alignment horizontal="right" vertical="center"/>
    </xf>
    <xf borderId="0" fillId="0" fontId="37" numFmtId="3" xfId="0" applyAlignment="1" applyFont="1" applyNumberFormat="1">
      <alignment horizontal="right" readingOrder="0" vertical="center"/>
    </xf>
    <xf borderId="0" fillId="0" fontId="36" numFmtId="164" xfId="0" applyAlignment="1" applyFont="1" applyNumberFormat="1">
      <alignment horizontal="right" shrinkToFit="0" vertical="center" wrapText="0"/>
    </xf>
    <xf borderId="0" fillId="2" fontId="57" numFmtId="164" xfId="0" applyAlignment="1" applyFont="1" applyNumberFormat="1">
      <alignment vertical="center"/>
    </xf>
    <xf borderId="0" fillId="0" fontId="45" numFmtId="164" xfId="0" applyAlignment="1" applyFont="1" applyNumberFormat="1">
      <alignment horizontal="right" vertical="center"/>
    </xf>
    <xf borderId="0" fillId="0" fontId="37" numFmtId="0" xfId="0" applyAlignment="1" applyFont="1">
      <alignment horizontal="center" readingOrder="0" vertical="center"/>
    </xf>
    <xf borderId="0" fillId="0" fontId="39" numFmtId="0" xfId="0" applyAlignment="1" applyFont="1">
      <alignment vertical="center"/>
    </xf>
    <xf borderId="0" fillId="0" fontId="45" numFmtId="0" xfId="0" applyAlignment="1" applyFont="1">
      <alignment vertical="center"/>
    </xf>
    <xf borderId="0" fillId="0" fontId="39" numFmtId="4" xfId="0" applyAlignment="1" applyFont="1" applyNumberFormat="1">
      <alignment horizontal="right" vertical="center"/>
    </xf>
    <xf borderId="0" fillId="0" fontId="39" numFmtId="4" xfId="0" applyAlignment="1" applyFont="1" applyNumberFormat="1">
      <alignment horizontal="right" readingOrder="0" vertical="center"/>
    </xf>
    <xf borderId="0" fillId="0" fontId="45" numFmtId="164" xfId="0" applyAlignment="1" applyFont="1" applyNumberFormat="1">
      <alignment horizontal="right" shrinkToFit="0" vertical="center" wrapText="0"/>
    </xf>
    <xf borderId="0" fillId="2" fontId="36" numFmtId="164" xfId="0" applyAlignment="1" applyFont="1" applyNumberFormat="1">
      <alignment vertical="center"/>
    </xf>
    <xf borderId="0" fillId="0" fontId="39" numFmtId="0" xfId="0" applyAlignment="1" applyFont="1">
      <alignment horizontal="center" readingOrder="0" vertical="center"/>
    </xf>
    <xf borderId="0" fillId="0" fontId="1" numFmtId="0" xfId="0" applyAlignment="1" applyFont="1">
      <alignment vertical="center"/>
    </xf>
    <xf borderId="0" fillId="0" fontId="74" numFmtId="0" xfId="0" applyAlignment="1" applyFont="1">
      <alignment vertical="center"/>
    </xf>
    <xf borderId="0" fillId="0" fontId="75" numFmtId="0" xfId="0" applyAlignment="1" applyFont="1">
      <alignment shrinkToFit="0" vertical="center" wrapText="0"/>
    </xf>
    <xf borderId="0" fillId="0" fontId="69" numFmtId="173" xfId="0" applyAlignment="1" applyFont="1" applyNumberFormat="1">
      <alignment horizontal="right" vertical="center"/>
    </xf>
    <xf borderId="0" fillId="6" fontId="39" numFmtId="0" xfId="0" applyAlignment="1" applyFont="1">
      <alignment vertical="center"/>
    </xf>
    <xf borderId="0" fillId="6" fontId="39" numFmtId="0" xfId="0" applyAlignment="1" applyFont="1">
      <alignment vertical="center"/>
    </xf>
    <xf borderId="0" fillId="0" fontId="39" numFmtId="164" xfId="0" applyAlignment="1" applyFont="1" applyNumberFormat="1">
      <alignment horizontal="right" shrinkToFit="0" vertical="center" wrapText="0"/>
    </xf>
    <xf borderId="0" fillId="0" fontId="69" numFmtId="3" xfId="0" applyAlignment="1" applyFont="1" applyNumberFormat="1">
      <alignment horizontal="right" vertical="center"/>
    </xf>
    <xf borderId="0" fillId="0" fontId="76" numFmtId="3" xfId="0" applyAlignment="1" applyFont="1" applyNumberFormat="1">
      <alignment horizontal="right" readingOrder="0" vertical="center"/>
    </xf>
    <xf borderId="0" fillId="0" fontId="37" numFmtId="0" xfId="0" applyAlignment="1" applyFont="1">
      <alignment vertical="center"/>
    </xf>
    <xf borderId="0" fillId="0" fontId="77" numFmtId="0" xfId="0" applyAlignment="1" applyFont="1">
      <alignment shrinkToFit="0" vertical="center" wrapText="0"/>
    </xf>
    <xf borderId="0" fillId="0" fontId="37" numFmtId="3" xfId="0" applyAlignment="1" applyFont="1" applyNumberFormat="1">
      <alignment horizontal="right" vertical="center"/>
    </xf>
    <xf borderId="0" fillId="0" fontId="37" numFmtId="0" xfId="0" applyAlignment="1" applyFont="1">
      <alignment shrinkToFit="0" vertical="center" wrapText="0"/>
    </xf>
    <xf borderId="0" fillId="0" fontId="76" numFmtId="173" xfId="0" applyAlignment="1" applyFont="1" applyNumberFormat="1">
      <alignment horizontal="right" readingOrder="0" vertical="center"/>
    </xf>
    <xf borderId="0" fillId="0" fontId="78" numFmtId="0" xfId="0" applyAlignment="1" applyFont="1">
      <alignment readingOrder="0" vertical="center"/>
    </xf>
    <xf borderId="0" fillId="0" fontId="37" numFmtId="0" xfId="0" applyAlignment="1" applyFont="1">
      <alignment readingOrder="0" vertical="center"/>
    </xf>
    <xf borderId="0" fillId="0" fontId="37" numFmtId="0" xfId="0" applyAlignment="1" applyFont="1">
      <alignment readingOrder="0" shrinkToFit="0" vertical="center" wrapText="0"/>
    </xf>
    <xf borderId="0" fillId="0" fontId="69" numFmtId="3" xfId="0" applyAlignment="1" applyFont="1" applyNumberFormat="1">
      <alignment horizontal="right" readingOrder="0" vertical="center"/>
    </xf>
    <xf borderId="0" fillId="0" fontId="39" numFmtId="164" xfId="0" applyAlignment="1" applyFont="1" applyNumberFormat="1">
      <alignment horizontal="right" readingOrder="0" shrinkToFit="0" vertical="center" wrapText="0"/>
    </xf>
    <xf borderId="0" fillId="0" fontId="39" numFmtId="0" xfId="0" applyAlignment="1" applyFont="1">
      <alignment readingOrder="0" vertical="center"/>
    </xf>
    <xf borderId="0" fillId="0" fontId="1" numFmtId="164" xfId="0" applyAlignment="1" applyFont="1" applyNumberFormat="1">
      <alignment horizontal="right"/>
    </xf>
    <xf borderId="0" fillId="14" fontId="79" numFmtId="0" xfId="0" applyAlignment="1" applyFont="1">
      <alignment vertical="bottom"/>
    </xf>
    <xf borderId="0" fillId="14" fontId="39" numFmtId="0" xfId="0" applyFont="1"/>
    <xf borderId="0" fillId="14" fontId="43" numFmtId="10" xfId="0" applyFont="1" applyNumberFormat="1"/>
    <xf borderId="0" fillId="14" fontId="39" numFmtId="4" xfId="0" applyFont="1" applyNumberFormat="1"/>
    <xf borderId="0" fillId="14" fontId="1" numFmtId="175" xfId="0" applyAlignment="1" applyFont="1" applyNumberFormat="1">
      <alignment horizontal="right"/>
    </xf>
    <xf borderId="0" fillId="14" fontId="2" numFmtId="164" xfId="0" applyAlignment="1" applyFont="1" applyNumberFormat="1">
      <alignment horizontal="right"/>
    </xf>
    <xf borderId="0" fillId="14" fontId="1" numFmtId="164" xfId="0" applyAlignment="1" applyFont="1" applyNumberFormat="1">
      <alignment horizontal="right" vertical="bottom"/>
    </xf>
    <xf borderId="0" fillId="14" fontId="5" numFmtId="0" xfId="0" applyFont="1"/>
    <xf borderId="0" fillId="14" fontId="45" numFmtId="0" xfId="0" applyFont="1"/>
    <xf borderId="0" fillId="14" fontId="80" numFmtId="0" xfId="0" applyAlignment="1" applyFont="1">
      <alignment shrinkToFit="0" wrapText="0"/>
    </xf>
    <xf borderId="0" fillId="14" fontId="45" numFmtId="4" xfId="0" applyFont="1" applyNumberFormat="1"/>
    <xf borderId="0" fillId="14" fontId="45" numFmtId="164" xfId="0" applyAlignment="1" applyFont="1" applyNumberFormat="1">
      <alignment horizontal="right"/>
    </xf>
    <xf borderId="0" fillId="0" fontId="1" numFmtId="164" xfId="0" applyAlignment="1" applyFont="1" applyNumberFormat="1">
      <alignment horizontal="right" vertical="bottom"/>
    </xf>
    <xf borderId="0" fillId="2" fontId="2" numFmtId="0" xfId="0" applyAlignment="1" applyFont="1">
      <alignment vertical="bottom"/>
    </xf>
    <xf borderId="0" fillId="0" fontId="1" numFmtId="0" xfId="0" applyAlignment="1" applyFont="1">
      <alignment horizontal="right" vertical="bottom"/>
    </xf>
    <xf borderId="0" fillId="14" fontId="39" numFmtId="4" xfId="0" applyAlignment="1" applyFont="1" applyNumberFormat="1">
      <alignment horizontal="right"/>
    </xf>
    <xf borderId="0" fillId="14" fontId="1" numFmtId="164" xfId="0" applyAlignment="1" applyFont="1" applyNumberFormat="1">
      <alignment horizontal="right"/>
    </xf>
    <xf borderId="0" fillId="0" fontId="81" numFmtId="0" xfId="0" applyAlignment="1" applyFont="1">
      <alignment vertical="bottom"/>
    </xf>
    <xf borderId="0" fillId="0" fontId="82" numFmtId="0" xfId="0" applyFont="1"/>
    <xf borderId="0" fillId="0" fontId="42" numFmtId="4" xfId="0" applyFont="1" applyNumberFormat="1"/>
    <xf borderId="0" fillId="0" fontId="42" numFmtId="164" xfId="0" applyAlignment="1" applyFont="1" applyNumberFormat="1">
      <alignment horizontal="right"/>
    </xf>
    <xf borderId="0" fillId="0" fontId="83" numFmtId="164" xfId="0" applyAlignment="1" applyFont="1" applyNumberFormat="1">
      <alignment horizontal="right"/>
    </xf>
    <xf borderId="0" fillId="2" fontId="45" numFmtId="164" xfId="0" applyAlignment="1" applyFont="1" applyNumberFormat="1">
      <alignment horizontal="right"/>
    </xf>
    <xf borderId="0" fillId="0" fontId="42" numFmtId="164" xfId="0" applyAlignment="1" applyFont="1" applyNumberFormat="1">
      <alignment horizontal="right" vertical="bottom"/>
    </xf>
    <xf borderId="0" fillId="0" fontId="42" numFmtId="164" xfId="0" applyFont="1" applyNumberFormat="1"/>
    <xf borderId="0" fillId="0" fontId="84" numFmtId="0" xfId="0" applyFont="1"/>
    <xf borderId="0" fillId="0" fontId="5" numFmtId="0" xfId="0" applyAlignment="1" applyFont="1">
      <alignment horizontal="left" vertical="bottom"/>
    </xf>
    <xf borderId="0" fillId="0" fontId="5" numFmtId="0" xfId="0" applyFont="1"/>
    <xf borderId="0" fillId="0" fontId="1" numFmtId="4" xfId="0" applyFont="1" applyNumberFormat="1"/>
    <xf borderId="0" fillId="0" fontId="1" numFmtId="176" xfId="0" applyAlignment="1" applyFont="1" applyNumberFormat="1">
      <alignment horizontal="right"/>
    </xf>
    <xf borderId="0" fillId="0" fontId="5" numFmtId="164" xfId="0" applyFont="1" applyNumberFormat="1"/>
    <xf borderId="0" fillId="0" fontId="39" numFmtId="4" xfId="0" applyFont="1" applyNumberFormat="1"/>
    <xf borderId="1" fillId="0" fontId="85" numFmtId="10" xfId="0" applyAlignment="1" applyBorder="1" applyFont="1" applyNumberFormat="1">
      <alignment horizontal="right" vertical="bottom"/>
    </xf>
    <xf borderId="1" fillId="0" fontId="37" numFmtId="170" xfId="0" applyAlignment="1" applyBorder="1" applyFont="1" applyNumberFormat="1">
      <alignment horizontal="right"/>
    </xf>
    <xf borderId="0" fillId="0" fontId="1" numFmtId="170" xfId="0" applyAlignment="1" applyFont="1" applyNumberFormat="1">
      <alignment horizontal="right"/>
    </xf>
    <xf borderId="1" fillId="16" fontId="37" numFmtId="170" xfId="0" applyBorder="1" applyFill="1" applyFont="1" applyNumberFormat="1"/>
    <xf borderId="1" fillId="16" fontId="37" numFmtId="170" xfId="0" applyAlignment="1" applyBorder="1" applyFont="1" applyNumberFormat="1">
      <alignment horizontal="right"/>
    </xf>
    <xf borderId="0" fillId="0" fontId="86" numFmtId="0" xfId="0" applyAlignment="1" applyFont="1">
      <alignment horizontal="left"/>
    </xf>
    <xf borderId="0" fillId="0" fontId="39" numFmtId="2" xfId="0" applyFont="1" applyNumberFormat="1"/>
    <xf borderId="0" fillId="0" fontId="2" numFmtId="164" xfId="0" applyAlignment="1" applyFont="1" applyNumberFormat="1">
      <alignment horizontal="right"/>
    </xf>
    <xf borderId="0" fillId="14" fontId="1" numFmtId="164" xfId="0" applyAlignment="1" applyFont="1" applyNumberFormat="1">
      <alignment vertical="bottom"/>
    </xf>
    <xf borderId="0" fillId="14" fontId="1" numFmtId="0" xfId="0" applyAlignment="1" applyFont="1">
      <alignment vertical="bottom"/>
    </xf>
    <xf borderId="0" fillId="14" fontId="43" numFmtId="10" xfId="0" applyAlignment="1" applyFont="1" applyNumberFormat="1">
      <alignment horizontal="right" vertical="bottom"/>
    </xf>
    <xf borderId="0" fillId="14" fontId="87" numFmtId="4" xfId="0" applyAlignment="1" applyFont="1" applyNumberFormat="1">
      <alignment horizontal="right" vertical="bottom"/>
    </xf>
    <xf borderId="0" fillId="14" fontId="1" numFmtId="0" xfId="0" applyAlignment="1" applyFont="1">
      <alignment horizontal="center" vertical="bottom"/>
    </xf>
    <xf borderId="0" fillId="14" fontId="1" numFmtId="0" xfId="0" applyAlignment="1" applyFont="1">
      <alignment horizontal="left" vertical="bottom"/>
    </xf>
    <xf borderId="0" fillId="14" fontId="88" numFmtId="0" xfId="0" applyAlignment="1" applyFont="1">
      <alignment horizontal="right" vertical="bottom"/>
    </xf>
    <xf borderId="0" fillId="14" fontId="39" numFmtId="164" xfId="0" applyAlignment="1" applyFont="1" applyNumberFormat="1">
      <alignment horizontal="right"/>
    </xf>
    <xf borderId="0" fillId="14" fontId="1" numFmtId="0" xfId="0" applyFont="1"/>
    <xf borderId="0" fillId="14" fontId="57" numFmtId="0" xfId="0" applyAlignment="1" applyFont="1">
      <alignment horizontal="left"/>
    </xf>
    <xf borderId="0" fillId="14" fontId="88" numFmtId="4" xfId="0" applyAlignment="1" applyFont="1" applyNumberFormat="1">
      <alignment horizontal="right" vertical="bottom"/>
    </xf>
    <xf borderId="0" fillId="0" fontId="1" numFmtId="164" xfId="0" applyAlignment="1" applyFont="1" applyNumberFormat="1">
      <alignment vertical="bottom"/>
    </xf>
    <xf borderId="0" fillId="0" fontId="1" numFmtId="0" xfId="0" applyAlignment="1" applyFont="1">
      <alignment horizontal="left" vertical="bottom"/>
    </xf>
    <xf borderId="0" fillId="0" fontId="88" numFmtId="0" xfId="0" applyAlignment="1" applyFont="1">
      <alignment horizontal="right" vertical="bottom"/>
    </xf>
    <xf borderId="0" fillId="0" fontId="39" numFmtId="164" xfId="0" applyAlignment="1" applyFont="1" applyNumberFormat="1">
      <alignment horizontal="right"/>
    </xf>
    <xf borderId="0" fillId="0" fontId="1" numFmtId="164" xfId="0" applyFont="1" applyNumberFormat="1"/>
    <xf borderId="0" fillId="0" fontId="57" numFmtId="0" xfId="0" applyAlignment="1" applyFont="1">
      <alignment horizontal="left"/>
    </xf>
    <xf borderId="0" fillId="0" fontId="87" numFmtId="0" xfId="0" applyAlignment="1" applyFont="1">
      <alignment horizontal="right" vertical="bottom"/>
    </xf>
    <xf borderId="0" fillId="0" fontId="25" numFmtId="0" xfId="0" applyAlignment="1" applyFont="1">
      <alignment horizontal="right" vertical="bottom"/>
    </xf>
    <xf borderId="0" fillId="0" fontId="87" numFmtId="4" xfId="0" applyAlignment="1" applyFont="1" applyNumberFormat="1">
      <alignment horizontal="right" vertical="bottom"/>
    </xf>
    <xf borderId="0" fillId="0" fontId="36" numFmtId="0" xfId="0" applyAlignment="1" applyFont="1">
      <alignment horizontal="left"/>
    </xf>
    <xf borderId="0" fillId="0" fontId="88" numFmtId="4" xfId="0" applyAlignment="1" applyFont="1" applyNumberFormat="1">
      <alignment horizontal="right" vertical="bottom"/>
    </xf>
    <xf borderId="0" fillId="0" fontId="57" numFmtId="0" xfId="0" applyAlignment="1" applyFont="1">
      <alignment horizontal="right"/>
    </xf>
    <xf borderId="0" fillId="14" fontId="10" numFmtId="0" xfId="0" applyAlignment="1" applyFont="1">
      <alignment horizontal="center"/>
    </xf>
    <xf borderId="0" fillId="0" fontId="10" numFmtId="177" xfId="0" applyAlignment="1" applyFont="1" applyNumberFormat="1">
      <alignment horizontal="right"/>
    </xf>
    <xf borderId="0" fillId="0" fontId="57" numFmtId="0" xfId="0" applyAlignment="1" applyFont="1">
      <alignment horizontal="center"/>
    </xf>
    <xf borderId="0" fillId="14" fontId="89" numFmtId="0" xfId="0" applyFont="1"/>
    <xf borderId="0" fillId="14" fontId="90" numFmtId="0" xfId="0" applyFont="1"/>
    <xf borderId="0" fillId="14" fontId="45" numFmtId="0" xfId="0" applyAlignment="1" applyFont="1">
      <alignment shrinkToFit="0" wrapText="0"/>
    </xf>
    <xf borderId="0" fillId="8" fontId="43" numFmtId="10" xfId="0" applyFont="1" applyNumberFormat="1"/>
    <xf borderId="0" fillId="14" fontId="91" numFmtId="164" xfId="0" applyAlignment="1" applyFont="1" applyNumberFormat="1">
      <alignment horizontal="right" shrinkToFit="0" vertical="top" wrapText="0"/>
    </xf>
    <xf borderId="0" fillId="14" fontId="24" numFmtId="164" xfId="0" applyAlignment="1" applyFont="1" applyNumberFormat="1">
      <alignment horizontal="right"/>
    </xf>
    <xf borderId="0" fillId="14" fontId="18" numFmtId="0" xfId="0" applyFont="1"/>
    <xf borderId="0" fillId="14" fontId="92" numFmtId="0" xfId="0" applyFont="1"/>
    <xf borderId="0" fillId="14" fontId="75" numFmtId="0" xfId="0" applyAlignment="1" applyFont="1">
      <alignment shrinkToFit="0" wrapText="0"/>
    </xf>
    <xf borderId="0" fillId="14" fontId="93" numFmtId="0" xfId="0" applyAlignment="1" applyFont="1">
      <alignment shrinkToFit="0" wrapText="0"/>
    </xf>
    <xf borderId="0" fillId="14" fontId="25" numFmtId="0" xfId="0" applyFont="1"/>
    <xf borderId="0" fillId="14" fontId="45" numFmtId="0" xfId="0" applyFont="1"/>
    <xf borderId="0" fillId="14" fontId="70" numFmtId="4" xfId="0" applyFont="1" applyNumberFormat="1"/>
    <xf borderId="0" fillId="14" fontId="94" numFmtId="164" xfId="0" applyAlignment="1" applyFont="1" applyNumberFormat="1">
      <alignment horizontal="right" shrinkToFit="0" wrapText="0"/>
    </xf>
    <xf borderId="0" fillId="14" fontId="90" numFmtId="4" xfId="0" applyFont="1" applyNumberFormat="1"/>
    <xf borderId="0" fillId="14" fontId="70" numFmtId="0" xfId="0" applyFont="1"/>
    <xf borderId="0" fillId="0" fontId="90" numFmtId="0" xfId="0" applyFont="1"/>
    <xf borderId="0" fillId="0" fontId="75" numFmtId="0" xfId="0" applyAlignment="1" applyFont="1">
      <alignment shrinkToFit="0" wrapText="0"/>
    </xf>
    <xf borderId="0" fillId="0" fontId="91" numFmtId="164" xfId="0" applyAlignment="1" applyFont="1" applyNumberFormat="1">
      <alignment horizontal="right" shrinkToFit="0" vertical="top" wrapText="0"/>
    </xf>
    <xf borderId="0" fillId="0" fontId="24" numFmtId="164" xfId="0" applyAlignment="1" applyFont="1" applyNumberFormat="1">
      <alignment horizontal="right"/>
    </xf>
    <xf borderId="0" fillId="0" fontId="45" numFmtId="164" xfId="0" applyAlignment="1" applyFont="1" applyNumberFormat="1">
      <alignment horizontal="right"/>
    </xf>
    <xf borderId="0" fillId="0" fontId="18" numFmtId="164" xfId="0" applyFont="1" applyNumberFormat="1"/>
    <xf borderId="0" fillId="2" fontId="2" numFmtId="164" xfId="0" applyFont="1" applyNumberFormat="1"/>
    <xf borderId="0" fillId="0" fontId="95" numFmtId="0" xfId="0" applyFont="1"/>
    <xf borderId="0" fillId="0" fontId="45" numFmtId="0" xfId="0" applyAlignment="1" applyFont="1">
      <alignment shrinkToFit="0" wrapText="0"/>
    </xf>
    <xf borderId="0" fillId="0" fontId="3" numFmtId="0" xfId="0" applyAlignment="1" applyFont="1">
      <alignment readingOrder="0"/>
    </xf>
    <xf borderId="0" fillId="0" fontId="90" numFmtId="2" xfId="0" applyFont="1" applyNumberFormat="1"/>
    <xf borderId="0" fillId="0" fontId="70" numFmtId="4" xfId="0" applyFont="1" applyNumberFormat="1"/>
    <xf borderId="0" fillId="0" fontId="90" numFmtId="4" xfId="0" applyFont="1" applyNumberFormat="1"/>
    <xf borderId="0" fillId="0" fontId="39" numFmtId="0" xfId="0" applyAlignment="1" applyFont="1">
      <alignment horizontal="right"/>
    </xf>
    <xf borderId="0" fillId="14" fontId="96" numFmtId="0" xfId="0" applyAlignment="1" applyFont="1">
      <alignment vertical="bottom"/>
    </xf>
    <xf borderId="0" fillId="14" fontId="45" numFmtId="0" xfId="0" applyAlignment="1" applyFont="1">
      <alignment vertical="bottom"/>
    </xf>
    <xf borderId="0" fillId="14" fontId="97" numFmtId="164" xfId="0" applyAlignment="1" applyFont="1" applyNumberFormat="1">
      <alignment horizontal="right" shrinkToFit="0" wrapText="0"/>
    </xf>
    <xf borderId="0" fillId="0" fontId="98" numFmtId="0" xfId="0" applyAlignment="1" applyFont="1">
      <alignment vertical="bottom"/>
    </xf>
    <xf borderId="0" fillId="0" fontId="45" numFmtId="0" xfId="0" applyAlignment="1" applyFont="1">
      <alignment vertical="bottom"/>
    </xf>
    <xf borderId="0" fillId="0" fontId="39" numFmtId="164" xfId="0" applyAlignment="1" applyFont="1" applyNumberFormat="1">
      <alignment horizontal="right" shrinkToFit="0" wrapText="0"/>
    </xf>
    <xf borderId="0" fillId="0" fontId="45" numFmtId="0" xfId="0" applyFont="1"/>
    <xf borderId="0" fillId="0" fontId="99" numFmtId="0" xfId="0" applyFont="1"/>
    <xf borderId="0" fillId="0" fontId="97" numFmtId="164" xfId="0" applyAlignment="1" applyFont="1" applyNumberFormat="1">
      <alignment horizontal="right" shrinkToFit="0" wrapText="0"/>
    </xf>
    <xf borderId="0" fillId="17" fontId="10" numFmtId="0" xfId="0" applyFill="1" applyFont="1"/>
    <xf borderId="0" fillId="17" fontId="1" numFmtId="0" xfId="0" applyFont="1"/>
    <xf borderId="0" fillId="17" fontId="97" numFmtId="164" xfId="0" applyAlignment="1" applyFont="1" applyNumberFormat="1">
      <alignment horizontal="right" shrinkToFit="0" wrapText="0"/>
    </xf>
    <xf borderId="0" fillId="17" fontId="1" numFmtId="0" xfId="0" applyAlignment="1" applyFont="1">
      <alignment horizontal="right"/>
    </xf>
    <xf borderId="0" fillId="17" fontId="1" numFmtId="164" xfId="0" applyAlignment="1" applyFont="1" applyNumberFormat="1">
      <alignment horizontal="right"/>
    </xf>
    <xf borderId="0" fillId="17" fontId="57" numFmtId="0" xfId="0" applyAlignment="1" applyFont="1">
      <alignment horizontal="center"/>
    </xf>
    <xf borderId="0" fillId="14" fontId="1" numFmtId="4" xfId="0" applyFont="1" applyNumberFormat="1"/>
    <xf borderId="0" fillId="14" fontId="24" numFmtId="164" xfId="0" applyAlignment="1" applyFont="1" applyNumberFormat="1">
      <alignment horizontal="right" shrinkToFit="0" wrapText="0"/>
    </xf>
    <xf borderId="0" fillId="14" fontId="5" numFmtId="164" xfId="0" applyAlignment="1" applyFont="1" applyNumberFormat="1">
      <alignment horizontal="right" vertical="bottom"/>
    </xf>
    <xf borderId="0" fillId="14" fontId="100" numFmtId="164" xfId="0" applyAlignment="1" applyFont="1" applyNumberFormat="1">
      <alignment horizontal="right" vertical="bottom"/>
    </xf>
    <xf borderId="0" fillId="14" fontId="45" numFmtId="0" xfId="0" applyAlignment="1" applyFont="1">
      <alignment vertical="bottom"/>
    </xf>
    <xf borderId="0" fillId="14" fontId="69" numFmtId="0" xfId="0" applyFont="1"/>
    <xf borderId="0" fillId="14" fontId="39" numFmtId="0" xfId="0" applyFont="1"/>
    <xf borderId="0" fillId="0" fontId="43" numFmtId="10" xfId="0" applyFont="1" applyNumberFormat="1"/>
    <xf borderId="0" fillId="14" fontId="39" numFmtId="164" xfId="0" applyAlignment="1" applyFont="1" applyNumberFormat="1">
      <alignment horizontal="right" shrinkToFit="0" wrapText="0"/>
    </xf>
    <xf borderId="0" fillId="14" fontId="1" numFmtId="3" xfId="0" applyFont="1" applyNumberFormat="1"/>
    <xf borderId="0" fillId="9" fontId="101" numFmtId="0" xfId="0" applyAlignment="1" applyFont="1">
      <alignment vertical="bottom"/>
    </xf>
    <xf borderId="0" fillId="9" fontId="45" numFmtId="0" xfId="0" applyAlignment="1" applyFont="1">
      <alignment vertical="bottom"/>
    </xf>
    <xf borderId="0" fillId="9" fontId="45" numFmtId="0" xfId="0" applyAlignment="1" applyFont="1">
      <alignment vertical="bottom"/>
    </xf>
    <xf borderId="0" fillId="9" fontId="102" numFmtId="10" xfId="0" applyAlignment="1" applyFont="1" applyNumberFormat="1">
      <alignment horizontal="right" vertical="bottom"/>
    </xf>
    <xf borderId="0" fillId="9" fontId="1" numFmtId="3" xfId="0" applyAlignment="1" applyFont="1" applyNumberFormat="1">
      <alignment horizontal="right" vertical="bottom"/>
    </xf>
    <xf borderId="0" fillId="9" fontId="103" numFmtId="164" xfId="0" applyAlignment="1" applyFont="1" applyNumberFormat="1">
      <alignment horizontal="right" shrinkToFit="0" wrapText="0"/>
    </xf>
    <xf borderId="0" fillId="9" fontId="39" numFmtId="164" xfId="0" applyAlignment="1" applyFont="1" applyNumberFormat="1">
      <alignment horizontal="right" vertical="bottom"/>
    </xf>
    <xf borderId="0" fillId="9" fontId="45" numFmtId="164" xfId="0" applyAlignment="1" applyFont="1" applyNumberFormat="1">
      <alignment horizontal="right"/>
    </xf>
    <xf borderId="0" fillId="9" fontId="1" numFmtId="164" xfId="0" applyAlignment="1" applyFont="1" applyNumberFormat="1">
      <alignment horizontal="right" vertical="bottom"/>
    </xf>
    <xf borderId="0" fillId="0" fontId="67" numFmtId="0" xfId="0" applyAlignment="1" applyFont="1">
      <alignment readingOrder="0"/>
    </xf>
    <xf borderId="0" fillId="2" fontId="39" numFmtId="164" xfId="0" applyAlignment="1" applyFont="1" applyNumberFormat="1">
      <alignment horizontal="right"/>
    </xf>
    <xf borderId="0" fillId="0" fontId="5" numFmtId="164" xfId="0" applyAlignment="1" applyFont="1" applyNumberFormat="1">
      <alignment horizontal="right" vertical="bottom"/>
    </xf>
    <xf borderId="0" fillId="0" fontId="100" numFmtId="164" xfId="0" applyAlignment="1" applyFont="1" applyNumberFormat="1">
      <alignment horizontal="right" vertical="bottom"/>
    </xf>
    <xf borderId="0" fillId="0" fontId="104" numFmtId="0" xfId="0" applyAlignment="1" applyFont="1">
      <alignment readingOrder="0"/>
    </xf>
    <xf borderId="0" fillId="14" fontId="105" numFmtId="0" xfId="0" applyAlignment="1" applyFont="1">
      <alignment vertical="bottom"/>
    </xf>
    <xf borderId="0" fillId="14" fontId="39" numFmtId="164" xfId="0" applyAlignment="1" applyFont="1" applyNumberFormat="1">
      <alignment vertical="bottom"/>
    </xf>
    <xf borderId="0" fillId="14" fontId="39" numFmtId="0" xfId="0" applyAlignment="1" applyFont="1">
      <alignment horizontal="left" vertical="bottom"/>
    </xf>
    <xf borderId="0" fillId="14" fontId="39" numFmtId="3" xfId="0" applyAlignment="1" applyFont="1" applyNumberFormat="1">
      <alignment horizontal="right" vertical="bottom"/>
    </xf>
    <xf borderId="0" fillId="14" fontId="103" numFmtId="175" xfId="0" applyAlignment="1" applyFont="1" applyNumberFormat="1">
      <alignment horizontal="right" shrinkToFit="0" wrapText="0"/>
    </xf>
    <xf borderId="0" fillId="14" fontId="45" numFmtId="164" xfId="0" applyFont="1" applyNumberFormat="1"/>
    <xf borderId="0" fillId="14" fontId="102" numFmtId="10" xfId="0" applyAlignment="1" applyFont="1" applyNumberFormat="1">
      <alignment horizontal="right" vertical="bottom"/>
    </xf>
    <xf borderId="0" fillId="2" fontId="43" numFmtId="10" xfId="0" applyAlignment="1" applyFont="1" applyNumberFormat="1">
      <alignment readingOrder="0"/>
    </xf>
    <xf borderId="0" fillId="14" fontId="45" numFmtId="164" xfId="0" applyAlignment="1" applyFont="1" applyNumberFormat="1">
      <alignment horizontal="right"/>
    </xf>
    <xf borderId="0" fillId="14" fontId="18" numFmtId="164" xfId="0" applyFont="1" applyNumberFormat="1"/>
    <xf borderId="0" fillId="14" fontId="1" numFmtId="0" xfId="0" applyAlignment="1" applyFont="1">
      <alignment readingOrder="0"/>
    </xf>
    <xf borderId="0" fillId="2" fontId="102" numFmtId="10" xfId="0" applyAlignment="1" applyFont="1" applyNumberFormat="1">
      <alignment horizontal="right" readingOrder="0" vertical="bottom"/>
    </xf>
    <xf borderId="0" fillId="14" fontId="1" numFmtId="3" xfId="0" applyAlignment="1" applyFont="1" applyNumberFormat="1">
      <alignment horizontal="right" vertical="bottom"/>
    </xf>
    <xf borderId="0" fillId="14" fontId="1" numFmtId="164" xfId="0" applyFont="1" applyNumberFormat="1"/>
    <xf borderId="0" fillId="14" fontId="39" numFmtId="164" xfId="0" applyAlignment="1" applyFont="1" applyNumberFormat="1">
      <alignment horizontal="right" vertical="bottom"/>
    </xf>
    <xf borderId="0" fillId="0" fontId="106" numFmtId="0" xfId="0" applyAlignment="1" applyFont="1">
      <alignment readingOrder="0" vertical="bottom"/>
    </xf>
    <xf borderId="0" fillId="0" fontId="45" numFmtId="0" xfId="0" applyAlignment="1" applyFont="1">
      <alignment readingOrder="0" vertical="bottom"/>
    </xf>
    <xf borderId="0" fillId="6" fontId="45" numFmtId="0" xfId="0" applyAlignment="1" applyFont="1">
      <alignment readingOrder="0" vertical="bottom"/>
    </xf>
    <xf borderId="0" fillId="0" fontId="1" numFmtId="4" xfId="0" applyAlignment="1" applyFont="1" applyNumberFormat="1">
      <alignment readingOrder="0"/>
    </xf>
    <xf borderId="0" fillId="0" fontId="39" numFmtId="164" xfId="0" applyAlignment="1" applyFont="1" applyNumberFormat="1">
      <alignment horizontal="right" readingOrder="0" shrinkToFit="0" wrapText="0"/>
    </xf>
    <xf borderId="0" fillId="0" fontId="45" numFmtId="0" xfId="0" applyAlignment="1" applyFont="1">
      <alignment vertical="bottom"/>
    </xf>
    <xf borderId="0" fillId="4" fontId="45" numFmtId="0" xfId="0" applyAlignment="1" applyFont="1">
      <alignment vertical="bottom"/>
    </xf>
    <xf borderId="0" fillId="0" fontId="1" numFmtId="3" xfId="0" applyAlignment="1" applyFont="1" applyNumberFormat="1">
      <alignment readingOrder="0"/>
    </xf>
    <xf borderId="0" fillId="0" fontId="39" numFmtId="0" xfId="0" applyAlignment="1" applyFont="1">
      <alignment readingOrder="0" shrinkToFit="0" vertical="center" wrapText="0"/>
    </xf>
    <xf borderId="0" fillId="2" fontId="102" numFmtId="10" xfId="0" applyAlignment="1" applyFont="1" applyNumberFormat="1">
      <alignment horizontal="right" vertical="bottom"/>
    </xf>
    <xf borderId="0" fillId="0" fontId="1" numFmtId="164" xfId="0" applyAlignment="1" applyFont="1" applyNumberFormat="1">
      <alignment readingOrder="0"/>
    </xf>
    <xf borderId="0" fillId="0" fontId="39" numFmtId="164" xfId="0" applyAlignment="1" applyFont="1" applyNumberFormat="1">
      <alignment horizontal="right" vertical="bottom"/>
    </xf>
    <xf borderId="0" fillId="0" fontId="45" numFmtId="164" xfId="0" applyFont="1" applyNumberFormat="1"/>
    <xf borderId="1" fillId="2" fontId="11" numFmtId="10" xfId="0" applyBorder="1" applyFont="1" applyNumberFormat="1"/>
    <xf borderId="0" fillId="0" fontId="37" numFmtId="0" xfId="0" applyAlignment="1" applyFont="1">
      <alignment horizontal="right"/>
    </xf>
    <xf borderId="1" fillId="16" fontId="36" numFmtId="170" xfId="0" applyBorder="1" applyFont="1" applyNumberFormat="1"/>
    <xf borderId="0" fillId="0" fontId="67" numFmtId="0" xfId="0" applyAlignment="1" applyFont="1">
      <alignment readingOrder="0" vertical="center"/>
    </xf>
    <xf borderId="0" fillId="4" fontId="107" numFmtId="0" xfId="0" applyFont="1"/>
    <xf borderId="0" fillId="4" fontId="39" numFmtId="0" xfId="0" applyFont="1"/>
    <xf borderId="1" fillId="4" fontId="108" numFmtId="174" xfId="0" applyAlignment="1" applyBorder="1" applyFont="1" applyNumberFormat="1">
      <alignment horizontal="right" vertical="bottom"/>
    </xf>
    <xf borderId="0" fillId="4" fontId="56" numFmtId="0" xfId="0" applyFont="1"/>
    <xf borderId="0" fillId="4" fontId="109" numFmtId="0" xfId="0" applyFont="1"/>
    <xf borderId="1" fillId="4" fontId="110" numFmtId="170" xfId="0" applyAlignment="1" applyBorder="1" applyFont="1" applyNumberFormat="1">
      <alignment horizontal="center"/>
    </xf>
    <xf borderId="0" fillId="4" fontId="109" numFmtId="0" xfId="0" applyAlignment="1" applyFont="1">
      <alignment horizontal="center"/>
    </xf>
    <xf borderId="0" fillId="3" fontId="56" numFmtId="170" xfId="0" applyAlignment="1" applyFont="1" applyNumberFormat="1">
      <alignment horizontal="center"/>
    </xf>
    <xf borderId="1" fillId="4" fontId="111" numFmtId="170" xfId="0" applyAlignment="1" applyBorder="1" applyFont="1" applyNumberFormat="1">
      <alignment horizontal="center"/>
    </xf>
    <xf borderId="1" fillId="4" fontId="110" numFmtId="170" xfId="0" applyAlignment="1" applyBorder="1" applyFont="1" applyNumberFormat="1">
      <alignment horizontal="left"/>
    </xf>
    <xf borderId="0" fillId="4" fontId="112" numFmtId="0" xfId="0" applyAlignment="1" applyFont="1">
      <alignment horizontal="center"/>
    </xf>
    <xf borderId="0" fillId="4" fontId="37" numFmtId="0" xfId="0" applyAlignment="1" applyFont="1">
      <alignment horizontal="center"/>
    </xf>
    <xf borderId="0" fillId="4" fontId="37" numFmtId="0" xfId="0" applyFont="1"/>
    <xf borderId="0" fillId="7" fontId="56" numFmtId="0" xfId="0" applyFont="1"/>
    <xf borderId="0" fillId="7" fontId="109" numFmtId="0" xfId="0" applyFont="1"/>
    <xf borderId="0" fillId="7" fontId="39" numFmtId="164" xfId="0" applyAlignment="1" applyFont="1" applyNumberFormat="1">
      <alignment horizontal="right"/>
    </xf>
    <xf borderId="0" fillId="7" fontId="39" numFmtId="0" xfId="0" applyFont="1"/>
    <xf borderId="0" fillId="6" fontId="5" numFmtId="0" xfId="0" applyAlignment="1" applyFont="1">
      <alignment readingOrder="0"/>
    </xf>
    <xf borderId="0" fillId="6" fontId="45" numFmtId="0" xfId="0" applyFont="1"/>
    <xf borderId="0" fillId="6" fontId="5" numFmtId="0" xfId="0" applyAlignment="1" applyFont="1">
      <alignment vertical="bottom"/>
    </xf>
    <xf borderId="0" fillId="6" fontId="45" numFmtId="164" xfId="0" applyAlignment="1" applyFont="1" applyNumberFormat="1">
      <alignment horizontal="right"/>
    </xf>
    <xf borderId="0" fillId="0" fontId="2" numFmtId="164" xfId="0" applyAlignment="1" applyFont="1" applyNumberFormat="1">
      <alignment horizontal="center" vertical="bottom"/>
    </xf>
    <xf borderId="0" fillId="6" fontId="5" numFmtId="0" xfId="0" applyFont="1"/>
    <xf borderId="0" fillId="0" fontId="5" numFmtId="0" xfId="0" applyAlignment="1" applyFont="1">
      <alignment vertical="bottom"/>
    </xf>
    <xf borderId="0" fillId="9" fontId="113" numFmtId="0" xfId="0" applyFont="1"/>
    <xf borderId="0" fillId="9" fontId="39" numFmtId="0" xfId="0" applyFont="1"/>
    <xf borderId="0" fillId="9" fontId="1" numFmtId="0" xfId="0" applyAlignment="1" applyFont="1">
      <alignment vertical="bottom"/>
    </xf>
    <xf borderId="0" fillId="9" fontId="39" numFmtId="164" xfId="0" applyAlignment="1" applyFont="1" applyNumberFormat="1">
      <alignment horizontal="right"/>
    </xf>
    <xf borderId="0" fillId="0" fontId="11" numFmtId="164" xfId="0" applyAlignment="1" applyFont="1" applyNumberFormat="1">
      <alignment horizontal="center" vertical="bottom"/>
    </xf>
    <xf borderId="0" fillId="0" fontId="114" numFmtId="0" xfId="0" applyAlignment="1" applyFont="1">
      <alignment vertical="bottom"/>
    </xf>
    <xf borderId="0" fillId="0" fontId="115" numFmtId="0" xfId="0" applyAlignment="1" applyFont="1">
      <alignment shrinkToFit="0" vertical="bottom" wrapText="0"/>
    </xf>
    <xf borderId="0" fillId="11" fontId="116" numFmtId="0" xfId="0" applyAlignment="1" applyFont="1">
      <alignment vertical="bottom"/>
    </xf>
    <xf borderId="0" fillId="11" fontId="1" numFmtId="164" xfId="0" applyAlignment="1" applyFont="1" applyNumberFormat="1">
      <alignment vertical="bottom"/>
    </xf>
    <xf borderId="0" fillId="11" fontId="1" numFmtId="0" xfId="0" applyAlignment="1" applyFont="1">
      <alignment horizontal="left" vertical="bottom"/>
    </xf>
    <xf borderId="0" fillId="11" fontId="11" numFmtId="164" xfId="0" applyAlignment="1" applyFont="1" applyNumberFormat="1">
      <alignment horizontal="center" vertical="bottom"/>
    </xf>
    <xf borderId="0" fillId="5" fontId="1" numFmtId="0" xfId="0" applyFont="1"/>
    <xf borderId="2" fillId="5" fontId="117" numFmtId="0" xfId="0" applyAlignment="1" applyBorder="1" applyFont="1">
      <alignment shrinkToFit="0" vertical="bottom" wrapText="0"/>
    </xf>
    <xf borderId="0" fillId="6" fontId="1" numFmtId="164" xfId="0" applyAlignment="1" applyFont="1" applyNumberFormat="1">
      <alignment vertical="bottom"/>
    </xf>
    <xf borderId="0" fillId="6" fontId="1" numFmtId="0" xfId="0" applyAlignment="1" applyFont="1">
      <alignment vertical="bottom"/>
    </xf>
    <xf borderId="0" fillId="0" fontId="118" numFmtId="0" xfId="0" applyFont="1"/>
    <xf borderId="0" fillId="11" fontId="119" numFmtId="0" xfId="0" applyAlignment="1" applyFont="1">
      <alignment vertical="bottom"/>
    </xf>
    <xf borderId="0" fillId="11" fontId="45" numFmtId="0" xfId="0" applyAlignment="1" applyFont="1">
      <alignment horizontal="left" vertical="bottom"/>
    </xf>
    <xf borderId="0" fillId="11" fontId="45" numFmtId="0" xfId="0" applyFont="1"/>
    <xf borderId="0" fillId="11" fontId="120" numFmtId="0" xfId="0" applyAlignment="1" applyFont="1">
      <alignment horizontal="center" vertical="bottom"/>
    </xf>
    <xf borderId="0" fillId="6" fontId="121" numFmtId="0" xfId="0" applyAlignment="1" applyFont="1">
      <alignment vertical="bottom"/>
    </xf>
    <xf borderId="0" fillId="6" fontId="45" numFmtId="0" xfId="0" applyAlignment="1" applyFont="1">
      <alignment vertical="bottom"/>
    </xf>
    <xf borderId="0" fillId="11" fontId="122" numFmtId="0" xfId="0" applyFont="1"/>
    <xf borderId="0" fillId="11" fontId="45" numFmtId="0" xfId="0" applyAlignment="1" applyFont="1">
      <alignment vertical="bottom"/>
    </xf>
    <xf borderId="0" fillId="11" fontId="122" numFmtId="0" xfId="0" applyAlignment="1" applyFont="1">
      <alignment vertical="bottom"/>
    </xf>
    <xf borderId="0" fillId="11" fontId="123" numFmtId="0" xfId="0" applyAlignment="1" applyFont="1">
      <alignment vertical="bottom"/>
    </xf>
    <xf borderId="0" fillId="6" fontId="45" numFmtId="0" xfId="0" applyAlignment="1" applyFont="1">
      <alignment shrinkToFit="0" wrapText="0"/>
    </xf>
    <xf borderId="0" fillId="6" fontId="120" numFmtId="0" xfId="0" applyAlignment="1" applyFont="1">
      <alignment horizontal="center" vertical="bottom"/>
    </xf>
    <xf borderId="0" fillId="11" fontId="41" numFmtId="0" xfId="0" applyFont="1"/>
    <xf borderId="0" fillId="11" fontId="45" numFmtId="0" xfId="0" applyAlignment="1" applyFont="1">
      <alignment shrinkToFit="0" wrapText="0"/>
    </xf>
    <xf borderId="0" fillId="6" fontId="41" numFmtId="0" xfId="0" applyFont="1"/>
    <xf borderId="0" fillId="0" fontId="1" numFmtId="0" xfId="0" applyAlignment="1" applyFont="1">
      <alignment horizontal="left"/>
    </xf>
    <xf borderId="0" fillId="0" fontId="124" numFmtId="0" xfId="0" applyAlignment="1" applyFont="1">
      <alignment horizontal="center" vertical="bottom"/>
    </xf>
    <xf borderId="0" fillId="0" fontId="125" numFmtId="0" xfId="0" applyFont="1"/>
    <xf borderId="0" fillId="14" fontId="36" numFmtId="176" xfId="0" applyAlignment="1" applyFont="1" applyNumberFormat="1">
      <alignment horizontal="right" vertical="bottom"/>
    </xf>
    <xf borderId="0" fillId="0" fontId="10" numFmtId="0" xfId="0" applyAlignment="1" applyFont="1">
      <alignment horizontal="right"/>
    </xf>
    <xf borderId="0" fillId="14" fontId="10" numFmtId="176" xfId="0" applyAlignment="1" applyFont="1" applyNumberFormat="1">
      <alignment horizontal="right"/>
    </xf>
    <xf borderId="0" fillId="0" fontId="126" numFmtId="0" xfId="0" applyAlignment="1" applyFont="1">
      <alignment vertical="bottom"/>
    </xf>
    <xf borderId="0" fillId="2" fontId="127" numFmtId="164" xfId="0" applyAlignment="1" applyFont="1" applyNumberFormat="1">
      <alignment vertical="bottom"/>
    </xf>
    <xf borderId="0" fillId="14" fontId="2" numFmtId="176" xfId="0" applyAlignment="1" applyFont="1" applyNumberFormat="1">
      <alignment horizontal="right"/>
    </xf>
    <xf borderId="0" fillId="0" fontId="128" numFmtId="10" xfId="0" applyAlignment="1" applyFont="1" applyNumberFormat="1">
      <alignment horizontal="center" vertical="bottom"/>
    </xf>
    <xf borderId="0" fillId="0" fontId="5" numFmtId="175" xfId="0" applyAlignment="1" applyFont="1" applyNumberFormat="1">
      <alignment horizontal="right"/>
    </xf>
    <xf borderId="0" fillId="0" fontId="5" numFmtId="164" xfId="0" applyAlignment="1" applyFont="1" applyNumberFormat="1">
      <alignment horizontal="right" vertical="bottom"/>
    </xf>
    <xf borderId="0" fillId="0" fontId="39" numFmtId="4" xfId="0" applyAlignment="1" applyFont="1" applyNumberFormat="1">
      <alignment horizontal="right"/>
    </xf>
    <xf borderId="0" fillId="0" fontId="1" numFmtId="175" xfId="0" applyAlignment="1" applyFont="1" applyNumberFormat="1">
      <alignment horizontal="right"/>
    </xf>
    <xf borderId="0" fillId="0" fontId="129" numFmtId="0" xfId="0" applyAlignment="1" applyFont="1">
      <alignment shrinkToFit="0" wrapText="0"/>
    </xf>
    <xf borderId="0" fillId="0" fontId="45" numFmtId="2" xfId="0" applyFont="1" applyNumberFormat="1"/>
    <xf borderId="0" fillId="0" fontId="45" numFmtId="4" xfId="0" applyFont="1" applyNumberFormat="1"/>
    <xf borderId="1" fillId="0" fontId="37" numFmtId="0" xfId="0" applyAlignment="1" applyBorder="1" applyFont="1">
      <alignment horizontal="right"/>
    </xf>
    <xf borderId="0" fillId="14" fontId="1" numFmtId="176" xfId="0" applyAlignment="1" applyFont="1" applyNumberFormat="1">
      <alignment horizontal="right"/>
    </xf>
    <xf borderId="1" fillId="16" fontId="37" numFmtId="0" xfId="0" applyBorder="1" applyFont="1"/>
    <xf borderId="1" fillId="0" fontId="85" numFmtId="10" xfId="0" applyAlignment="1" applyBorder="1" applyFont="1" applyNumberFormat="1">
      <alignment horizontal="center" vertical="bottom"/>
    </xf>
    <xf borderId="0" fillId="2" fontId="130" numFmtId="0" xfId="0" applyAlignment="1" applyFont="1">
      <alignment horizontal="left"/>
    </xf>
    <xf borderId="0" fillId="0" fontId="1" numFmtId="164" xfId="0" applyAlignment="1" applyFont="1" applyNumberFormat="1">
      <alignment horizontal="left"/>
    </xf>
    <xf borderId="0" fillId="0" fontId="131" numFmtId="164" xfId="0" applyAlignment="1" applyFont="1" applyNumberFormat="1">
      <alignment horizontal="left"/>
    </xf>
    <xf borderId="0" fillId="2" fontId="2" numFmtId="178" xfId="0" applyAlignment="1" applyFont="1" applyNumberFormat="1">
      <alignment horizontal="right"/>
    </xf>
    <xf borderId="0" fillId="11" fontId="1" numFmtId="164" xfId="0" applyAlignment="1" applyFont="1" applyNumberFormat="1">
      <alignment horizontal="right"/>
    </xf>
    <xf borderId="0" fillId="0" fontId="132" numFmtId="0" xfId="0" applyAlignment="1" applyFont="1">
      <alignment shrinkToFit="0" wrapText="0"/>
    </xf>
    <xf borderId="0" fillId="0" fontId="133" numFmtId="0" xfId="0" applyFont="1"/>
    <xf borderId="0" fillId="2" fontId="134" numFmtId="0" xfId="0" applyAlignment="1" applyFont="1">
      <alignment horizontal="left"/>
    </xf>
    <xf borderId="0" fillId="0" fontId="135" numFmtId="0" xfId="0" applyFont="1"/>
    <xf borderId="1" fillId="16" fontId="37" numFmtId="164" xfId="0" applyBorder="1" applyFont="1" applyNumberFormat="1"/>
    <xf borderId="0" fillId="0" fontId="36" numFmtId="0" xfId="0" applyFont="1"/>
    <xf borderId="0" fillId="0" fontId="36" numFmtId="164" xfId="0" applyAlignment="1" applyFont="1" applyNumberFormat="1">
      <alignment horizontal="right"/>
    </xf>
    <xf borderId="0" fillId="0" fontId="1" numFmtId="0" xfId="0" applyAlignment="1" applyFont="1">
      <alignment horizontal="center" vertical="bottom"/>
    </xf>
    <xf borderId="0" fillId="0" fontId="2" numFmtId="164" xfId="0" applyAlignment="1" applyFont="1" applyNumberFormat="1">
      <alignment horizontal="right" vertical="bottom"/>
    </xf>
    <xf borderId="1" fillId="16" fontId="37" numFmtId="0" xfId="0" applyAlignment="1" applyBorder="1" applyFont="1">
      <alignment horizontal="right"/>
    </xf>
    <xf borderId="0" fillId="18" fontId="37" numFmtId="0" xfId="0" applyFill="1" applyFont="1"/>
    <xf borderId="0" fillId="18" fontId="10" numFmtId="177" xfId="0" applyAlignment="1" applyFont="1" applyNumberFormat="1">
      <alignment horizontal="right"/>
    </xf>
    <xf borderId="0" fillId="18" fontId="10" numFmtId="0" xfId="0" applyAlignment="1" applyFont="1">
      <alignment horizontal="right"/>
    </xf>
    <xf borderId="0" fillId="0" fontId="36" numFmtId="0" xfId="0" applyAlignment="1" applyFont="1">
      <alignment horizontal="left" vertical="bottom"/>
    </xf>
    <xf borderId="0" fillId="0" fontId="18" numFmtId="0" xfId="0" applyFont="1"/>
    <xf borderId="0" fillId="0" fontId="131" numFmtId="0" xfId="0" applyFont="1"/>
    <xf borderId="0" fillId="0" fontId="136" numFmtId="0" xfId="0" applyAlignment="1" applyFont="1">
      <alignment shrinkToFit="0" wrapText="0"/>
    </xf>
    <xf borderId="0" fillId="0" fontId="137" numFmtId="0" xfId="0" applyFont="1"/>
    <xf borderId="0" fillId="0" fontId="72" numFmtId="176" xfId="0" applyAlignment="1" applyFont="1" applyNumberFormat="1">
      <alignment horizontal="right" shrinkToFit="0" vertical="top" wrapText="0"/>
    </xf>
    <xf borderId="0" fillId="0" fontId="134" numFmtId="0" xfId="0" applyAlignment="1" applyFont="1">
      <alignment horizontal="left"/>
    </xf>
    <xf borderId="0" fillId="0" fontId="127" numFmtId="164" xfId="0" applyAlignment="1" applyFont="1" applyNumberFormat="1">
      <alignment vertical="bottom"/>
    </xf>
    <xf borderId="0" fillId="0" fontId="97" numFmtId="178" xfId="0" applyAlignment="1" applyFont="1" applyNumberFormat="1">
      <alignment horizontal="right" shrinkToFit="0" wrapText="0"/>
    </xf>
    <xf borderId="0" fillId="0" fontId="2" numFmtId="178" xfId="0" applyAlignment="1" applyFont="1" applyNumberFormat="1">
      <alignment horizontal="right"/>
    </xf>
    <xf borderId="0" fillId="0" fontId="97" numFmtId="179" xfId="0" applyAlignment="1" applyFont="1" applyNumberFormat="1">
      <alignment horizontal="right" shrinkToFit="0" wrapText="0"/>
    </xf>
    <xf borderId="0" fillId="0" fontId="2" numFmtId="175" xfId="0" applyAlignment="1" applyFont="1" applyNumberFormat="1">
      <alignment horizontal="right"/>
    </xf>
    <xf borderId="0" fillId="0" fontId="97" numFmtId="175" xfId="0" applyAlignment="1" applyFont="1" applyNumberFormat="1">
      <alignment horizontal="right" shrinkToFit="0" wrapText="0"/>
    </xf>
    <xf borderId="0" fillId="0" fontId="5" numFmtId="0" xfId="0" applyAlignment="1" applyFont="1">
      <alignment horizontal="left"/>
    </xf>
    <xf borderId="0" fillId="0" fontId="70" numFmtId="0" xfId="0" applyAlignment="1" applyFont="1">
      <alignment vertical="bottom"/>
    </xf>
    <xf borderId="0" fillId="0" fontId="123" numFmtId="0" xfId="0" applyAlignment="1" applyFont="1">
      <alignment vertical="bottom"/>
    </xf>
    <xf borderId="0" fillId="5" fontId="39" numFmtId="0" xfId="0" applyFont="1"/>
    <xf borderId="0" fillId="5" fontId="39" numFmtId="0" xfId="0" applyAlignment="1" applyFont="1">
      <alignment horizontal="right"/>
    </xf>
    <xf borderId="0" fillId="5" fontId="1" numFmtId="0" xfId="0" applyAlignment="1" applyFont="1">
      <alignment horizontal="right"/>
    </xf>
    <xf borderId="0" fillId="2" fontId="138" numFmtId="0" xfId="0" applyFont="1"/>
    <xf borderId="0" fillId="2" fontId="2" numFmtId="175" xfId="0" applyAlignment="1" applyFont="1" applyNumberFormat="1">
      <alignment horizontal="right"/>
    </xf>
    <xf borderId="0" fillId="2" fontId="86" numFmtId="0" xfId="0" applyAlignment="1" applyFont="1">
      <alignment horizontal="left"/>
    </xf>
    <xf borderId="0" fillId="14" fontId="1" numFmtId="176" xfId="0" applyFont="1" applyNumberFormat="1"/>
    <xf borderId="0" fillId="0" fontId="139" numFmtId="0" xfId="0" applyFont="1"/>
    <xf borderId="1" fillId="7" fontId="37" numFmtId="164" xfId="0" applyAlignment="1" applyBorder="1" applyFont="1" applyNumberFormat="1">
      <alignment horizontal="right"/>
    </xf>
    <xf borderId="1" fillId="7" fontId="37" numFmtId="164" xfId="0" applyBorder="1" applyFont="1" applyNumberFormat="1"/>
    <xf borderId="0" fillId="0" fontId="85" numFmtId="10" xfId="0" applyAlignment="1" applyFont="1" applyNumberFormat="1">
      <alignment horizontal="center" vertical="bottom"/>
    </xf>
    <xf borderId="0" fillId="8" fontId="39" numFmtId="0" xfId="0" applyFont="1"/>
    <xf borderId="0" fillId="14" fontId="39" numFmtId="176" xfId="0" applyAlignment="1" applyFont="1" applyNumberFormat="1">
      <alignment horizontal="right"/>
    </xf>
    <xf borderId="0" fillId="0" fontId="140" numFmtId="0" xfId="0" applyFont="1"/>
    <xf borderId="0" fillId="14" fontId="3" numFmtId="176" xfId="0" applyAlignment="1" applyFont="1" applyNumberFormat="1">
      <alignment horizontal="right"/>
    </xf>
    <xf borderId="0" fillId="0" fontId="3" numFmtId="0" xfId="0" applyAlignment="1" applyFont="1">
      <alignment horizontal="right"/>
    </xf>
  </cellXfs>
  <cellStyles count="1">
    <cellStyle xfId="0" name="Normal" builtinId="0"/>
  </cellStyles>
  <dxfs count="9">
    <dxf>
      <font/>
      <fill>
        <patternFill patternType="solid">
          <fgColor rgb="FFD9EAD3"/>
          <bgColor rgb="FFD9EAD3"/>
        </patternFill>
      </fill>
      <border/>
    </dxf>
    <dxf>
      <font/>
      <fill>
        <patternFill patternType="solid">
          <fgColor rgb="FFF4CCCC"/>
          <bgColor rgb="FFF4CCCC"/>
        </patternFill>
      </fill>
      <border/>
    </dxf>
    <dxf>
      <font/>
      <fill>
        <patternFill patternType="solid">
          <fgColor rgb="FF00FF00"/>
          <bgColor rgb="FF00FF00"/>
        </patternFill>
      </fill>
      <border/>
    </dxf>
    <dxf>
      <font/>
      <fill>
        <patternFill patternType="solid">
          <fgColor rgb="FFFF0000"/>
          <bgColor rgb="FFFF0000"/>
        </patternFill>
      </fill>
      <border/>
    </dxf>
    <dxf>
      <font>
        <color rgb="FF38761D"/>
      </font>
      <fill>
        <patternFill patternType="none"/>
      </fill>
      <border/>
    </dxf>
    <dxf>
      <font>
        <color rgb="FFEA4335"/>
      </font>
      <fill>
        <patternFill patternType="none"/>
      </fill>
      <border/>
    </dxf>
    <dxf>
      <font/>
      <fill>
        <patternFill patternType="solid">
          <fgColor rgb="FFFFFFFF"/>
          <bgColor rgb="FFFFFFFF"/>
        </patternFill>
      </fill>
      <border/>
    </dxf>
    <dxf>
      <font>
        <color rgb="FF188038"/>
      </font>
      <fill>
        <patternFill patternType="none"/>
      </fill>
      <border/>
    </dxf>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Asset Allocations</a:t>
            </a:r>
          </a:p>
        </c:rich>
      </c:tx>
      <c:overlay val="0"/>
    </c:title>
    <c:view3D>
      <c:rotX val="50"/>
      <c:perspective val="0"/>
    </c:view3D>
    <c:plotArea>
      <c:layout/>
      <c:pie3DChart>
        <c:varyColors val="1"/>
        <c:ser>
          <c:idx val="0"/>
          <c:order val="0"/>
          <c:dPt>
            <c:idx val="0"/>
            <c:explosion val="0"/>
            <c:spPr>
              <a:solidFill>
                <a:srgbClr val="999999"/>
              </a:solidFill>
            </c:spPr>
          </c:dPt>
          <c:dPt>
            <c:idx val="1"/>
            <c:spPr>
              <a:solidFill>
                <a:srgbClr val="FFE599"/>
              </a:solidFill>
            </c:spPr>
          </c:dPt>
          <c:dPt>
            <c:idx val="2"/>
            <c:spPr>
              <a:solidFill>
                <a:srgbClr val="FFD966"/>
              </a:solidFill>
            </c:spPr>
          </c:dPt>
          <c:dPt>
            <c:idx val="3"/>
            <c:spPr>
              <a:solidFill>
                <a:srgbClr val="EFEFEF"/>
              </a:solidFill>
            </c:spPr>
          </c:dPt>
          <c:dPt>
            <c:idx val="4"/>
            <c:spPr>
              <a:solidFill>
                <a:srgbClr val="B6D7A8"/>
              </a:solidFill>
            </c:spPr>
          </c:dPt>
          <c:dPt>
            <c:idx val="5"/>
            <c:spPr>
              <a:solidFill>
                <a:srgbClr val="6D9EEB"/>
              </a:solidFill>
            </c:spPr>
          </c:dPt>
          <c:dPt>
            <c:idx val="6"/>
            <c:spPr>
              <a:solidFill>
                <a:srgbClr val="A4C2F4"/>
              </a:solidFill>
            </c:spPr>
          </c:dPt>
          <c:dPt>
            <c:idx val="7"/>
            <c:spPr>
              <a:solidFill>
                <a:srgbClr val="38761D"/>
              </a:solidFill>
            </c:spPr>
          </c:dPt>
          <c:dPt>
            <c:idx val="8"/>
            <c:spPr>
              <a:solidFill>
                <a:srgbClr val="FCD04F"/>
              </a:solidFill>
            </c:spPr>
          </c:dPt>
          <c:dLbls>
            <c:showLegendKey val="0"/>
            <c:showVal val="0"/>
            <c:showCatName val="0"/>
            <c:showSerName val="0"/>
            <c:showPercent val="1"/>
            <c:showBubbleSize val="0"/>
            <c:showLeaderLines val="1"/>
          </c:dLbls>
          <c:cat>
            <c:strRef>
              <c:f>Investments!$A$1:$A$9</c:f>
            </c:strRef>
          </c:cat>
          <c:val>
            <c:numRef>
              <c:f>Investments!$B$1:$B$9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'Investment Allocation Examples'!$A$47:$A$52</c:f>
            </c:strRef>
          </c:cat>
          <c:val>
            <c:numRef>
              <c:f>'Investment Allocation Examples'!$B$47:$B$52</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'Investment Allocation Examples'!$A$34:$A$39</c:f>
            </c:strRef>
          </c:cat>
          <c:val>
            <c:numRef>
              <c:f>'Investment Allocation Examples'!$B$34:$B$39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'Investment Allocation Examples'!$A$19:$A$24</c:f>
            </c:strRef>
          </c:cat>
          <c:val>
            <c:numRef>
              <c:f>'Investment Allocation Examples'!$B$19:$B$24</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'Investment Allocation Examples'!$A$3:$A$8</c:f>
            </c:strRef>
          </c:cat>
          <c:val>
            <c:numRef>
              <c:f>'Investment Allocation Examples'!$B$3:$B$8</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dPt>
            <c:idx val="0"/>
            <c:spPr>
              <a:solidFill>
                <a:schemeClr val="accent4"/>
              </a:solidFill>
            </c:spPr>
          </c:dPt>
          <c:dPt>
            <c:idx val="1"/>
            <c:spPr>
              <a:solidFill>
                <a:srgbClr val="666666"/>
              </a:solidFill>
            </c:spPr>
          </c:dPt>
          <c:dPt>
            <c:idx val="2"/>
            <c:spPr>
              <a:solidFill>
                <a:srgbClr val="F1C232"/>
              </a:solidFill>
            </c:spPr>
          </c:dPt>
          <c:dPt>
            <c:idx val="3"/>
            <c:spPr>
              <a:solidFill>
                <a:srgbClr val="0B5394"/>
              </a:solidFill>
            </c:spPr>
          </c:dPt>
          <c:dLbls>
            <c:showLegendKey val="0"/>
            <c:showVal val="0"/>
            <c:showCatName val="0"/>
            <c:showSerName val="0"/>
            <c:showPercent val="0"/>
            <c:showBubbleSize val="0"/>
            <c:showLeaderLines val="1"/>
          </c:dLbls>
          <c:cat>
            <c:strRef>
              <c:f>Stocks!$A$29:$A$32</c:f>
            </c:strRef>
          </c:cat>
          <c:val>
            <c:numRef>
              <c:f>Stocks!$B$29:$B$32</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1"/>
            <c:showSerName val="0"/>
            <c:showPercent val="0"/>
            <c:showBubbleSize val="0"/>
            <c:showLeaderLines val="1"/>
          </c:dLbls>
          <c:cat>
            <c:strRef>
              <c:f>'Crypto Consolidation'!$B$7:$B$14</c:f>
            </c:strRef>
          </c:cat>
          <c:val>
            <c:numRef>
              <c:f>'Crypto Consolidation'!$H$7:$H$13</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31</xdr:row>
      <xdr:rowOff>19050</xdr:rowOff>
    </xdr:from>
    <xdr:ext cx="7200900"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361950</xdr:colOff>
      <xdr:row>44</xdr:row>
      <xdr:rowOff>19050</xdr:rowOff>
    </xdr:from>
    <xdr:ext cx="4695825" cy="22479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371475</xdr:colOff>
      <xdr:row>30</xdr:row>
      <xdr:rowOff>171450</xdr:rowOff>
    </xdr:from>
    <xdr:ext cx="4695825" cy="2247900"/>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361950</xdr:colOff>
      <xdr:row>16</xdr:row>
      <xdr:rowOff>38100</xdr:rowOff>
    </xdr:from>
    <xdr:ext cx="4695825" cy="2247900"/>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361950</xdr:colOff>
      <xdr:row>1</xdr:row>
      <xdr:rowOff>38100</xdr:rowOff>
    </xdr:from>
    <xdr:ext cx="4695825" cy="2114550"/>
    <xdr:graphicFrame>
      <xdr:nvGraphicFramePr>
        <xdr:cNvPr id="5" name="Chart 5"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76200</xdr:colOff>
      <xdr:row>27</xdr:row>
      <xdr:rowOff>190500</xdr:rowOff>
    </xdr:from>
    <xdr:ext cx="3162300" cy="1962150"/>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16</xdr:row>
      <xdr:rowOff>66675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hyperlink" Target="http://bit.ly/3lMnQ5P" TargetMode="External"/><Relationship Id="rId3" Type="http://schemas.openxmlformats.org/officeDocument/2006/relationships/hyperlink" Target="https://bit.ly/3bxv3xN" TargetMode="External"/><Relationship Id="rId4" Type="http://schemas.openxmlformats.org/officeDocument/2006/relationships/hyperlink" Target="https://bit.ly/3kbgO61" TargetMode="External"/><Relationship Id="rId10" Type="http://schemas.openxmlformats.org/officeDocument/2006/relationships/drawing" Target="../drawings/drawing1.xml"/><Relationship Id="rId9" Type="http://schemas.openxmlformats.org/officeDocument/2006/relationships/hyperlink" Target="https://bit.ly/3JpWOZK" TargetMode="External"/><Relationship Id="rId5" Type="http://schemas.openxmlformats.org/officeDocument/2006/relationships/hyperlink" Target="https://bit.ly/3drNR2F" TargetMode="External"/><Relationship Id="rId6" Type="http://schemas.openxmlformats.org/officeDocument/2006/relationships/hyperlink" Target="https://bit.ly/3SFvp9E" TargetMode="External"/><Relationship Id="rId7" Type="http://schemas.openxmlformats.org/officeDocument/2006/relationships/hyperlink" Target="https://bit.ly/3bK8oyL" TargetMode="External"/><Relationship Id="rId8" Type="http://schemas.openxmlformats.org/officeDocument/2006/relationships/hyperlink" Target="https://bit.ly/3KoufvK"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coinmarketcap.com/currencies/blockstack/" TargetMode="External"/><Relationship Id="rId84" Type="http://schemas.openxmlformats.org/officeDocument/2006/relationships/hyperlink" Target="https://coinmarketcap.com/currencies/theta/" TargetMode="External"/><Relationship Id="rId83" Type="http://schemas.openxmlformats.org/officeDocument/2006/relationships/hyperlink" Target="https://coinmarketcap.com/currencies/chainlink/" TargetMode="External"/><Relationship Id="rId42" Type="http://schemas.openxmlformats.org/officeDocument/2006/relationships/hyperlink" Target="https://coinmarketcap.com/currencies/iota/" TargetMode="External"/><Relationship Id="rId86" Type="http://schemas.openxmlformats.org/officeDocument/2006/relationships/hyperlink" Target="https://coinmarketcap.com/currencies/chainlink/" TargetMode="External"/><Relationship Id="rId41" Type="http://schemas.openxmlformats.org/officeDocument/2006/relationships/hyperlink" Target="https://info.binance.com/en/currencies/stacks" TargetMode="External"/><Relationship Id="rId85" Type="http://schemas.openxmlformats.org/officeDocument/2006/relationships/hyperlink" Target="https://info.binance.com/en/currencies/theta-token" TargetMode="External"/><Relationship Id="rId44" Type="http://schemas.openxmlformats.org/officeDocument/2006/relationships/hyperlink" Target="https://coinmarketcap.com/currencies/algorand/" TargetMode="External"/><Relationship Id="rId88" Type="http://schemas.openxmlformats.org/officeDocument/2006/relationships/hyperlink" Target="https://coinmarketcap.com/currencies/vechain/" TargetMode="External"/><Relationship Id="rId43" Type="http://schemas.openxmlformats.org/officeDocument/2006/relationships/hyperlink" Target="https://info.binance.com/en/currencies/miota" TargetMode="External"/><Relationship Id="rId87" Type="http://schemas.openxmlformats.org/officeDocument/2006/relationships/hyperlink" Target="https://coinmarketcap.com/currencies/axie-infinity/" TargetMode="External"/><Relationship Id="rId46" Type="http://schemas.openxmlformats.org/officeDocument/2006/relationships/hyperlink" Target="https://coinmarketcap.com/currencies/stellar/" TargetMode="External"/><Relationship Id="rId45" Type="http://schemas.openxmlformats.org/officeDocument/2006/relationships/hyperlink" Target="https://info.binance.com/en/currencies/algo" TargetMode="External"/><Relationship Id="rId89" Type="http://schemas.openxmlformats.org/officeDocument/2006/relationships/hyperlink" Target="https://coinmarketcap.com/currencies/xrp/" TargetMode="External"/><Relationship Id="rId80" Type="http://schemas.openxmlformats.org/officeDocument/2006/relationships/hyperlink" Target="https://info.binance.com/en/currencies/zilliqa" TargetMode="External"/><Relationship Id="rId82" Type="http://schemas.openxmlformats.org/officeDocument/2006/relationships/hyperlink" Target="https://coinmarketcap.com/currencies/gala/" TargetMode="External"/><Relationship Id="rId81" Type="http://schemas.openxmlformats.org/officeDocument/2006/relationships/hyperlink" Target="https://coinmarketcap.com/currencies/pancakeswap/" TargetMode="External"/><Relationship Id="rId1" Type="http://schemas.openxmlformats.org/officeDocument/2006/relationships/hyperlink" Target="https://coinmarketcap.com/currencies/cardano/" TargetMode="External"/><Relationship Id="rId2" Type="http://schemas.openxmlformats.org/officeDocument/2006/relationships/hyperlink" Target="https://coinmarketcap.com/currencies/vechain/" TargetMode="External"/><Relationship Id="rId3" Type="http://schemas.openxmlformats.org/officeDocument/2006/relationships/hyperlink" Target="https://info.binance.com/en/currencies/vechain" TargetMode="External"/><Relationship Id="rId4" Type="http://schemas.openxmlformats.org/officeDocument/2006/relationships/hyperlink" Target="https://coinmarketcap.com/currencies/chainlink/" TargetMode="External"/><Relationship Id="rId9" Type="http://schemas.openxmlformats.org/officeDocument/2006/relationships/hyperlink" Target="https://coinmarketcap.com/currencies/tezos/" TargetMode="External"/><Relationship Id="rId48" Type="http://schemas.openxmlformats.org/officeDocument/2006/relationships/hyperlink" Target="https://info.binance.com/en/currencies/vechain" TargetMode="External"/><Relationship Id="rId47" Type="http://schemas.openxmlformats.org/officeDocument/2006/relationships/hyperlink" Target="https://coinmarketcap.com/currencies/vechain/" TargetMode="External"/><Relationship Id="rId49" Type="http://schemas.openxmlformats.org/officeDocument/2006/relationships/hyperlink" Target="https://coinmarketcap.com/currencies/zilliqa/" TargetMode="External"/><Relationship Id="rId5" Type="http://schemas.openxmlformats.org/officeDocument/2006/relationships/hyperlink" Target="https://coinmarketcap.com/currencies/bitcoin/" TargetMode="External"/><Relationship Id="rId6" Type="http://schemas.openxmlformats.org/officeDocument/2006/relationships/hyperlink" Target="https://coinmarketcap.com/currencies/bitcoin/" TargetMode="External"/><Relationship Id="rId7" Type="http://schemas.openxmlformats.org/officeDocument/2006/relationships/hyperlink" Target="https://coinmarketcap.com/currencies/bitcoin/" TargetMode="External"/><Relationship Id="rId8" Type="http://schemas.openxmlformats.org/officeDocument/2006/relationships/hyperlink" Target="https://coinmarketcap.com/currencies/ethereum/" TargetMode="External"/><Relationship Id="rId73" Type="http://schemas.openxmlformats.org/officeDocument/2006/relationships/hyperlink" Target="https://coinmarketcap.com/currencies/monero/" TargetMode="External"/><Relationship Id="rId72" Type="http://schemas.openxmlformats.org/officeDocument/2006/relationships/hyperlink" Target="https://coinmarketcap.com/currencies/pancakeswap/" TargetMode="External"/><Relationship Id="rId31" Type="http://schemas.openxmlformats.org/officeDocument/2006/relationships/hyperlink" Target="https://info.binance.com/en/currencies/bitcoin-cash" TargetMode="External"/><Relationship Id="rId75" Type="http://schemas.openxmlformats.org/officeDocument/2006/relationships/hyperlink" Target="https://coinmarketcap.com/currencies/monero/" TargetMode="External"/><Relationship Id="rId30" Type="http://schemas.openxmlformats.org/officeDocument/2006/relationships/hyperlink" Target="https://coinmarketcap.com/currencies/bitcoin-cash/" TargetMode="External"/><Relationship Id="rId74" Type="http://schemas.openxmlformats.org/officeDocument/2006/relationships/hyperlink" Target="https://info.binance.com/en/currencies/monero" TargetMode="External"/><Relationship Id="rId33" Type="http://schemas.openxmlformats.org/officeDocument/2006/relationships/hyperlink" Target="https://info.binance.com/en/currencies/theta-fuel" TargetMode="External"/><Relationship Id="rId77" Type="http://schemas.openxmlformats.org/officeDocument/2006/relationships/hyperlink" Target="https://info.binance.com/en/currencies/theta-token" TargetMode="External"/><Relationship Id="rId32" Type="http://schemas.openxmlformats.org/officeDocument/2006/relationships/hyperlink" Target="https://coinmarketcap.com/currencies/theta-fuel/" TargetMode="External"/><Relationship Id="rId76" Type="http://schemas.openxmlformats.org/officeDocument/2006/relationships/hyperlink" Target="https://coinmarketcap.com/currencies/theta/" TargetMode="External"/><Relationship Id="rId35" Type="http://schemas.openxmlformats.org/officeDocument/2006/relationships/hyperlink" Target="https://info.binance.com/en/currencies/digibyte" TargetMode="External"/><Relationship Id="rId79" Type="http://schemas.openxmlformats.org/officeDocument/2006/relationships/hyperlink" Target="https://coinmarketcap.com/currencies/zilliqa/" TargetMode="External"/><Relationship Id="rId34" Type="http://schemas.openxmlformats.org/officeDocument/2006/relationships/hyperlink" Target="https://coinmarketcap.com/currencies/digibyte/" TargetMode="External"/><Relationship Id="rId78" Type="http://schemas.openxmlformats.org/officeDocument/2006/relationships/hyperlink" Target="https://coinmarketcap.com/currencies/vechain/" TargetMode="External"/><Relationship Id="rId71" Type="http://schemas.openxmlformats.org/officeDocument/2006/relationships/hyperlink" Target="https://coinmarketcap.com/currencies/avalanche/" TargetMode="External"/><Relationship Id="rId70" Type="http://schemas.openxmlformats.org/officeDocument/2006/relationships/hyperlink" Target="https://coinmarketcap.com/currencies/compound/" TargetMode="External"/><Relationship Id="rId37" Type="http://schemas.openxmlformats.org/officeDocument/2006/relationships/hyperlink" Target="https://info.binance.com/en/currencies/tezos" TargetMode="External"/><Relationship Id="rId36" Type="http://schemas.openxmlformats.org/officeDocument/2006/relationships/hyperlink" Target="https://coinmarketcap.com/currencies/tezos/" TargetMode="External"/><Relationship Id="rId39" Type="http://schemas.openxmlformats.org/officeDocument/2006/relationships/hyperlink" Target="https://info.binance.com/en/currencies/theta-token" TargetMode="External"/><Relationship Id="rId38" Type="http://schemas.openxmlformats.org/officeDocument/2006/relationships/hyperlink" Target="https://coinmarketcap.com/currencies/theta/" TargetMode="External"/><Relationship Id="rId62" Type="http://schemas.openxmlformats.org/officeDocument/2006/relationships/hyperlink" Target="https://coinmarketcap.com/currencies/compound/" TargetMode="External"/><Relationship Id="rId61" Type="http://schemas.openxmlformats.org/officeDocument/2006/relationships/hyperlink" Target="https://coinmarketcap.com/currencies/uniswap/" TargetMode="External"/><Relationship Id="rId20" Type="http://schemas.openxmlformats.org/officeDocument/2006/relationships/hyperlink" Target="https://coinmarketcap.com/currencies/chainlink/" TargetMode="External"/><Relationship Id="rId64" Type="http://schemas.openxmlformats.org/officeDocument/2006/relationships/hyperlink" Target="https://coinmarketcap.com/currencies/avalanche/" TargetMode="External"/><Relationship Id="rId63" Type="http://schemas.openxmlformats.org/officeDocument/2006/relationships/hyperlink" Target="https://coinmarketcap.com/currencies/cardano/" TargetMode="External"/><Relationship Id="rId22" Type="http://schemas.openxmlformats.org/officeDocument/2006/relationships/hyperlink" Target="https://coinmarketcap.com/currencies/loopring/" TargetMode="External"/><Relationship Id="rId66" Type="http://schemas.openxmlformats.org/officeDocument/2006/relationships/hyperlink" Target="https://coinmarketcap.com/currencies/polkadot-new/" TargetMode="External"/><Relationship Id="rId21" Type="http://schemas.openxmlformats.org/officeDocument/2006/relationships/hyperlink" Target="https://coinmarketcap.com/currencies/district0x/" TargetMode="External"/><Relationship Id="rId65" Type="http://schemas.openxmlformats.org/officeDocument/2006/relationships/hyperlink" Target="https://coinmarketcap.com/currencies/ethereum/" TargetMode="External"/><Relationship Id="rId24" Type="http://schemas.openxmlformats.org/officeDocument/2006/relationships/hyperlink" Target="https://coinmarketcap.com/currencies/ren/" TargetMode="External"/><Relationship Id="rId68" Type="http://schemas.openxmlformats.org/officeDocument/2006/relationships/hyperlink" Target="https://info.binance.com/en/currencies/theta-token" TargetMode="External"/><Relationship Id="rId23" Type="http://schemas.openxmlformats.org/officeDocument/2006/relationships/hyperlink" Target="https://coinmarketcap.com/currencies/stellar/" TargetMode="External"/><Relationship Id="rId67" Type="http://schemas.openxmlformats.org/officeDocument/2006/relationships/hyperlink" Target="https://coinmarketcap.com/currencies/theta/" TargetMode="External"/><Relationship Id="rId60" Type="http://schemas.openxmlformats.org/officeDocument/2006/relationships/hyperlink" Target="https://info.binance.com/en/currencies/vechain" TargetMode="External"/><Relationship Id="rId26" Type="http://schemas.openxmlformats.org/officeDocument/2006/relationships/hyperlink" Target="https://coinmarketcap.com/currencies/cosmos/" TargetMode="External"/><Relationship Id="rId25" Type="http://schemas.openxmlformats.org/officeDocument/2006/relationships/hyperlink" Target="https://coinmarketcap.com/currencies/algorand/" TargetMode="External"/><Relationship Id="rId69" Type="http://schemas.openxmlformats.org/officeDocument/2006/relationships/hyperlink" Target="https://coinmarketcap.com/currencies/hedera-hashgraph/" TargetMode="External"/><Relationship Id="rId28" Type="http://schemas.openxmlformats.org/officeDocument/2006/relationships/hyperlink" Target="https://coinmarketcap.com/currencies/synthetix-network-token/" TargetMode="External"/><Relationship Id="rId27" Type="http://schemas.openxmlformats.org/officeDocument/2006/relationships/hyperlink" Target="https://coinmarketcap.com/currencies/decentraland/" TargetMode="External"/><Relationship Id="rId29" Type="http://schemas.openxmlformats.org/officeDocument/2006/relationships/hyperlink" Target="https://coinmarketcap.com/currencies/elrond-egld/" TargetMode="External"/><Relationship Id="rId51" Type="http://schemas.openxmlformats.org/officeDocument/2006/relationships/hyperlink" Target="https://coinmarketcap.com/currencies/monero/" TargetMode="External"/><Relationship Id="rId95" Type="http://schemas.openxmlformats.org/officeDocument/2006/relationships/drawing" Target="../drawings/drawing10.xml"/><Relationship Id="rId50" Type="http://schemas.openxmlformats.org/officeDocument/2006/relationships/hyperlink" Target="https://info.binance.com/en/currencies/zilliqa" TargetMode="External"/><Relationship Id="rId94" Type="http://schemas.openxmlformats.org/officeDocument/2006/relationships/hyperlink" Target="https://www.coingecko.com/" TargetMode="External"/><Relationship Id="rId53" Type="http://schemas.openxmlformats.org/officeDocument/2006/relationships/hyperlink" Target="https://coinmarketcap.com/currencies/ethereum/" TargetMode="External"/><Relationship Id="rId52" Type="http://schemas.openxmlformats.org/officeDocument/2006/relationships/hyperlink" Target="https://info.binance.com/en/currencies/monero" TargetMode="External"/><Relationship Id="rId11" Type="http://schemas.openxmlformats.org/officeDocument/2006/relationships/hyperlink" Target="https://coinmarketcap.com/currencies/civic/" TargetMode="External"/><Relationship Id="rId55" Type="http://schemas.openxmlformats.org/officeDocument/2006/relationships/hyperlink" Target="https://coinmarketcap.com/currencies/polkadot-new/" TargetMode="External"/><Relationship Id="rId10" Type="http://schemas.openxmlformats.org/officeDocument/2006/relationships/hyperlink" Target="https://coinmarketcap.com/currencies/nucypher/" TargetMode="External"/><Relationship Id="rId54" Type="http://schemas.openxmlformats.org/officeDocument/2006/relationships/hyperlink" Target="https://info.binance.com/en/currencies/ethereum" TargetMode="External"/><Relationship Id="rId13" Type="http://schemas.openxmlformats.org/officeDocument/2006/relationships/hyperlink" Target="https://coinmarketcap.com/currencies/bitcoin/" TargetMode="External"/><Relationship Id="rId57" Type="http://schemas.openxmlformats.org/officeDocument/2006/relationships/hyperlink" Target="https://coinmarketcap.com/currencies/cardano/" TargetMode="External"/><Relationship Id="rId12" Type="http://schemas.openxmlformats.org/officeDocument/2006/relationships/hyperlink" Target="https://coinmarketcap.com/currencies/decentraland/" TargetMode="External"/><Relationship Id="rId56" Type="http://schemas.openxmlformats.org/officeDocument/2006/relationships/hyperlink" Target="https://coinmarketcap.com/currencies/kusama/" TargetMode="External"/><Relationship Id="rId91" Type="http://schemas.openxmlformats.org/officeDocument/2006/relationships/hyperlink" Target="https://coinmarketcap.com/currencies/kusama/" TargetMode="External"/><Relationship Id="rId90" Type="http://schemas.openxmlformats.org/officeDocument/2006/relationships/hyperlink" Target="https://coinmarketcap.com/currencies/cardano/" TargetMode="External"/><Relationship Id="rId93" Type="http://schemas.openxmlformats.org/officeDocument/2006/relationships/hyperlink" Target="https://coinmarketcap.com/currencies/monero/" TargetMode="External"/><Relationship Id="rId92" Type="http://schemas.openxmlformats.org/officeDocument/2006/relationships/hyperlink" Target="https://coinmarketcap.com/currencies/polkadot-new/" TargetMode="External"/><Relationship Id="rId15" Type="http://schemas.openxmlformats.org/officeDocument/2006/relationships/hyperlink" Target="https://coinmarketcap.com/currencies/ethereum/" TargetMode="External"/><Relationship Id="rId59" Type="http://schemas.openxmlformats.org/officeDocument/2006/relationships/hyperlink" Target="https://coinmarketcap.com/currencies/vechain/" TargetMode="External"/><Relationship Id="rId14" Type="http://schemas.openxmlformats.org/officeDocument/2006/relationships/hyperlink" Target="https://coinmarketcap.com/currencies/bitcoin/" TargetMode="External"/><Relationship Id="rId58" Type="http://schemas.openxmlformats.org/officeDocument/2006/relationships/hyperlink" Target="https://info.binance.com/en/currencies/cardano" TargetMode="External"/><Relationship Id="rId17" Type="http://schemas.openxmlformats.org/officeDocument/2006/relationships/hyperlink" Target="https://coinmarketcap.com/currencies/litecoin/" TargetMode="External"/><Relationship Id="rId16" Type="http://schemas.openxmlformats.org/officeDocument/2006/relationships/hyperlink" Target="https://coinmarketcap.com/currencies/ethereum/" TargetMode="External"/><Relationship Id="rId19" Type="http://schemas.openxmlformats.org/officeDocument/2006/relationships/hyperlink" Target="https://coinmarketcap.com/currencies/tezos/" TargetMode="External"/><Relationship Id="rId18" Type="http://schemas.openxmlformats.org/officeDocument/2006/relationships/hyperlink" Target="https://coinmarketcap.com/currencies/bitcoin-cash/"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coinmarketcap.com/currencies/bitcoin/" TargetMode="External"/><Relationship Id="rId2" Type="http://schemas.openxmlformats.org/officeDocument/2006/relationships/hyperlink" Target="https://coinmarketcap.com/currencies/ethereum/" TargetMode="External"/><Relationship Id="rId3"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bullionvaultaffiliate.com/neilwarduk/en" TargetMode="External"/><Relationship Id="rId2" Type="http://schemas.openxmlformats.org/officeDocument/2006/relationships/hyperlink" Target="https://bit.ly/3drNR2F" TargetMode="External"/><Relationship Id="rId3" Type="http://schemas.openxmlformats.org/officeDocument/2006/relationships/hyperlink" Target="https://bit.ly/3SFvp9E"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coinmarketcap.com/currencies/polkadot-new/" TargetMode="External"/><Relationship Id="rId2" Type="http://schemas.openxmlformats.org/officeDocument/2006/relationships/hyperlink" Target="https://coinmarketcap.com/currencies/hedera-hashgraph/" TargetMode="External"/><Relationship Id="rId3" Type="http://schemas.openxmlformats.org/officeDocument/2006/relationships/hyperlink" Target="https://coinmarketcap.com/currencies/ethereum/" TargetMode="External"/><Relationship Id="rId4" Type="http://schemas.openxmlformats.org/officeDocument/2006/relationships/hyperlink" Target="https://info.binance.com/en/currencies/ethereum" TargetMode="External"/><Relationship Id="rId11" Type="http://schemas.openxmlformats.org/officeDocument/2006/relationships/hyperlink" Target="https://coinmarketcap.com/currencies/monero/" TargetMode="External"/><Relationship Id="rId10" Type="http://schemas.openxmlformats.org/officeDocument/2006/relationships/hyperlink" Target="https://coinmarketcap.com/currencies/kusama/" TargetMode="External"/><Relationship Id="rId12" Type="http://schemas.openxmlformats.org/officeDocument/2006/relationships/drawing" Target="../drawings/drawing9.xml"/><Relationship Id="rId9" Type="http://schemas.openxmlformats.org/officeDocument/2006/relationships/hyperlink" Target="https://info.binance.com/en/currencies/vechain" TargetMode="External"/><Relationship Id="rId5" Type="http://schemas.openxmlformats.org/officeDocument/2006/relationships/hyperlink" Target="https://coinmarketcap.com/currencies/xrp/" TargetMode="External"/><Relationship Id="rId6" Type="http://schemas.openxmlformats.org/officeDocument/2006/relationships/hyperlink" Target="https://coinmarketcap.com/currencies/cardano/" TargetMode="External"/><Relationship Id="rId7" Type="http://schemas.openxmlformats.org/officeDocument/2006/relationships/hyperlink" Target="https://info.binance.com/en/currencies/cardano" TargetMode="External"/><Relationship Id="rId8" Type="http://schemas.openxmlformats.org/officeDocument/2006/relationships/hyperlink" Target="https://coinmarketcap.com/currencies/vecha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75"/>
    <col customWidth="1" min="2" max="2" width="18.13"/>
    <col customWidth="1" min="3" max="3" width="16.63"/>
    <col customWidth="1" min="4" max="5" width="12.63"/>
    <col customWidth="1" min="6" max="6" width="16.5"/>
    <col customWidth="1" min="8" max="8" width="13.25"/>
  </cols>
  <sheetData>
    <row r="1" ht="15.75" customHeight="1">
      <c r="A1" s="1" t="s">
        <v>0</v>
      </c>
      <c r="B1" s="2" t="str">
        <f>'Crypto Consolidation'!H15+5000</f>
        <v>Loading...</v>
      </c>
      <c r="D1" s="3"/>
      <c r="E1" s="4"/>
      <c r="F1" s="4"/>
      <c r="G1" s="5"/>
      <c r="H1" s="6"/>
      <c r="I1" s="4"/>
    </row>
    <row r="2" ht="15.75" customHeight="1">
      <c r="A2" s="7" t="s">
        <v>1</v>
      </c>
      <c r="B2" s="8">
        <f>IFERROR(__xludf.DUMMYFUNCTION("Metals!H4 * GOOGLEFINANCE(""CURRENCY:GBPUSD"")"),217514.36925)</f>
        <v>217514.3693</v>
      </c>
      <c r="D2" s="9" t="s">
        <v>2</v>
      </c>
      <c r="E2" s="10"/>
      <c r="F2" s="10"/>
      <c r="G2" s="11"/>
      <c r="H2" s="12" t="s">
        <v>3</v>
      </c>
      <c r="I2" s="10"/>
    </row>
    <row r="3" ht="15.75" customHeight="1">
      <c r="A3" s="13" t="s">
        <v>4</v>
      </c>
      <c r="B3" s="8">
        <f>IFERROR(__xludf.DUMMYFUNCTION("sum(Metals!H11) * GOOGLEFINANCE(""CURRENCY:GBPUSD"")"),1210227.784991419)</f>
        <v>1210227.785</v>
      </c>
      <c r="D3" s="14" t="s">
        <v>5</v>
      </c>
      <c r="E3" s="10"/>
      <c r="F3" s="10"/>
      <c r="G3" s="11"/>
      <c r="H3" s="15" t="s">
        <v>6</v>
      </c>
      <c r="I3" s="10"/>
    </row>
    <row r="4" ht="15.75" customHeight="1">
      <c r="A4" s="1" t="s">
        <v>7</v>
      </c>
      <c r="B4" s="16">
        <f>IFERROR(__xludf.DUMMYFUNCTION("BizRE!H6 * GOOGLEFINANCE(""CURRENCY:GBPUSD"")"),419986.25099999993)</f>
        <v>419986.251</v>
      </c>
      <c r="D4" s="14" t="s">
        <v>8</v>
      </c>
      <c r="E4" s="10"/>
      <c r="F4" s="10"/>
      <c r="G4" s="11"/>
      <c r="H4" s="17" t="s">
        <v>9</v>
      </c>
      <c r="I4" s="10"/>
    </row>
    <row r="5" ht="15.75" customHeight="1">
      <c r="A5" s="7" t="s">
        <v>10</v>
      </c>
      <c r="B5" s="16">
        <f>IFERROR(__xludf.DUMMYFUNCTION("BizRE!H13 * GOOGLEFINANCE(""CURRENCY:GBPUSD"")"),1145635.848)</f>
        <v>1145635.848</v>
      </c>
      <c r="D5" s="14" t="s">
        <v>11</v>
      </c>
      <c r="E5" s="10"/>
      <c r="F5" s="10"/>
      <c r="G5" s="11"/>
      <c r="H5" s="17" t="s">
        <v>12</v>
      </c>
      <c r="I5" s="10"/>
    </row>
    <row r="6" ht="15.75" customHeight="1">
      <c r="A6" s="1" t="s">
        <v>13</v>
      </c>
      <c r="B6" s="16">
        <f>BizRE!H14</f>
        <v>482000</v>
      </c>
      <c r="D6" s="14" t="s">
        <v>14</v>
      </c>
      <c r="E6" s="10"/>
      <c r="F6" s="10"/>
      <c r="G6" s="11"/>
      <c r="H6" s="17" t="s">
        <v>15</v>
      </c>
      <c r="I6" s="10"/>
    </row>
    <row r="7" ht="15.75" customHeight="1">
      <c r="A7" s="18" t="s">
        <v>16</v>
      </c>
      <c r="B7" s="19">
        <v>0.0</v>
      </c>
      <c r="C7" s="20" t="s">
        <v>17</v>
      </c>
      <c r="D7" s="14" t="s">
        <v>18</v>
      </c>
      <c r="E7" s="10"/>
      <c r="F7" s="10"/>
      <c r="G7" s="11"/>
      <c r="H7" s="12" t="s">
        <v>19</v>
      </c>
      <c r="I7" s="10"/>
    </row>
    <row r="8" ht="15.75" customHeight="1">
      <c r="A8" s="7" t="s">
        <v>20</v>
      </c>
      <c r="B8" s="21">
        <v>35000.0</v>
      </c>
      <c r="C8" s="22" t="s">
        <v>21</v>
      </c>
      <c r="D8" s="14" t="s">
        <v>22</v>
      </c>
      <c r="E8" s="10"/>
      <c r="F8" s="10"/>
      <c r="G8" s="11"/>
      <c r="H8" s="17" t="s">
        <v>23</v>
      </c>
      <c r="I8" s="10"/>
    </row>
    <row r="9" ht="15.75" customHeight="1">
      <c r="A9" s="23" t="s">
        <v>24</v>
      </c>
      <c r="B9" s="24">
        <v>50000.0</v>
      </c>
      <c r="C9" s="25"/>
      <c r="D9" s="10" t="s">
        <v>25</v>
      </c>
      <c r="E9" s="10"/>
      <c r="F9" s="10"/>
      <c r="G9" s="11"/>
      <c r="H9" s="17" t="s">
        <v>26</v>
      </c>
      <c r="I9" s="10"/>
    </row>
    <row r="10" ht="15.75" customHeight="1">
      <c r="A10" s="1"/>
      <c r="B10" s="1"/>
      <c r="C10" s="26" t="s">
        <v>27</v>
      </c>
      <c r="D10" s="27" t="s">
        <v>28</v>
      </c>
      <c r="E10" s="28"/>
      <c r="F10" s="28"/>
      <c r="G10" s="29"/>
      <c r="H10" s="30" t="s">
        <v>29</v>
      </c>
      <c r="I10" s="28"/>
    </row>
    <row r="11" ht="15.75" customHeight="1">
      <c r="A11" s="31" t="s">
        <v>30</v>
      </c>
      <c r="B11" s="32" t="str">
        <f>sum(B1:B9)</f>
        <v>Loading...</v>
      </c>
      <c r="C11" s="33"/>
      <c r="G11" s="34"/>
    </row>
    <row r="12" ht="15.75" customHeight="1">
      <c r="A12" s="35" t="s">
        <v>31</v>
      </c>
      <c r="B12" s="36" t="s">
        <v>32</v>
      </c>
      <c r="C12" s="37"/>
    </row>
    <row r="13" ht="15.75" customHeight="1">
      <c r="A13" s="25"/>
      <c r="B13" s="38"/>
      <c r="C13" s="37"/>
      <c r="G13" s="34"/>
    </row>
    <row r="14" ht="15.75" customHeight="1">
      <c r="A14" s="39" t="s">
        <v>33</v>
      </c>
      <c r="B14" s="38"/>
      <c r="C14" s="37"/>
      <c r="G14" s="34"/>
    </row>
    <row r="15" ht="15.75" customHeight="1">
      <c r="A15" s="40" t="s">
        <v>34</v>
      </c>
      <c r="B15" s="38"/>
      <c r="C15" s="37"/>
      <c r="G15" s="34"/>
    </row>
    <row r="16" ht="15.75" customHeight="1">
      <c r="A16" s="40" t="s">
        <v>35</v>
      </c>
      <c r="B16" s="38"/>
      <c r="C16" s="37"/>
      <c r="G16" s="34"/>
    </row>
    <row r="17" ht="15.75" customHeight="1">
      <c r="A17" s="41" t="s">
        <v>36</v>
      </c>
      <c r="B17" s="38"/>
      <c r="C17" s="37"/>
      <c r="G17" s="34"/>
    </row>
    <row r="18" ht="15.75" customHeight="1">
      <c r="A18" s="40" t="s">
        <v>37</v>
      </c>
      <c r="B18" s="38"/>
      <c r="C18" s="37"/>
      <c r="G18" s="34"/>
    </row>
    <row r="19" ht="15.75" customHeight="1">
      <c r="A19" s="40" t="s">
        <v>38</v>
      </c>
      <c r="B19" s="38"/>
      <c r="C19" s="37"/>
      <c r="G19" s="34"/>
    </row>
    <row r="20" ht="15.75" customHeight="1">
      <c r="A20" s="40" t="s">
        <v>39</v>
      </c>
      <c r="B20" s="38"/>
      <c r="C20" s="37"/>
      <c r="G20" s="34"/>
    </row>
    <row r="21" ht="15.75" customHeight="1">
      <c r="A21" s="40" t="s">
        <v>40</v>
      </c>
      <c r="B21" s="38"/>
      <c r="C21" s="37"/>
      <c r="G21" s="34"/>
    </row>
    <row r="22" ht="15.75" customHeight="1">
      <c r="A22" s="3" t="s">
        <v>41</v>
      </c>
      <c r="B22" s="38"/>
      <c r="C22" s="37"/>
      <c r="G22" s="34"/>
    </row>
    <row r="23" ht="15.75" customHeight="1">
      <c r="A23" s="3" t="s">
        <v>42</v>
      </c>
      <c r="B23" s="38"/>
      <c r="C23" s="42"/>
      <c r="G23" s="34"/>
    </row>
    <row r="24" ht="15.75" customHeight="1">
      <c r="A24" s="4"/>
      <c r="B24" s="38"/>
      <c r="C24" s="42"/>
    </row>
    <row r="25" ht="15.75" customHeight="1">
      <c r="A25" s="4" t="s">
        <v>43</v>
      </c>
      <c r="B25" s="38"/>
      <c r="C25" s="38"/>
    </row>
    <row r="26" ht="15.75" customHeight="1">
      <c r="A26" s="4" t="s">
        <v>44</v>
      </c>
      <c r="B26" s="38"/>
      <c r="C26" s="38"/>
    </row>
    <row r="27" ht="15.75" customHeight="1">
      <c r="A27" s="4" t="s">
        <v>45</v>
      </c>
      <c r="C27" s="38"/>
    </row>
    <row r="28" ht="15.75" customHeight="1">
      <c r="A28" s="4" t="s">
        <v>46</v>
      </c>
    </row>
    <row r="29" ht="15.75" customHeight="1">
      <c r="A29" s="4" t="s">
        <v>47</v>
      </c>
    </row>
    <row r="30" ht="15.75" customHeight="1"/>
    <row r="31" ht="15.75" customHeight="1">
      <c r="A31" s="43" t="s">
        <v>48</v>
      </c>
      <c r="B31" s="43"/>
      <c r="C31" s="43"/>
    </row>
    <row r="32" ht="15.75" customHeight="1">
      <c r="D32" s="43"/>
      <c r="E32" s="43"/>
      <c r="F32" s="43"/>
      <c r="G32" s="44"/>
    </row>
    <row r="33" ht="15.75" customHeight="1">
      <c r="G33" s="45"/>
      <c r="H33" s="46" t="s">
        <v>49</v>
      </c>
    </row>
    <row r="34" ht="15.75" customHeight="1">
      <c r="G34" s="4" t="s">
        <v>50</v>
      </c>
      <c r="H34" s="47"/>
      <c r="I34" s="3" t="s">
        <v>51</v>
      </c>
    </row>
    <row r="35" ht="15.75" customHeight="1">
      <c r="G35" s="4" t="s">
        <v>52</v>
      </c>
      <c r="H35" s="47"/>
      <c r="I35" s="3" t="s">
        <v>53</v>
      </c>
    </row>
    <row r="36" ht="15.75" customHeight="1">
      <c r="G36" s="4" t="s">
        <v>54</v>
      </c>
      <c r="H36" s="48"/>
      <c r="I36" s="3" t="s">
        <v>55</v>
      </c>
    </row>
    <row r="37" ht="15.75" customHeight="1">
      <c r="G37" s="4" t="s">
        <v>56</v>
      </c>
      <c r="H37" s="49"/>
      <c r="I37" s="3" t="s">
        <v>57</v>
      </c>
    </row>
    <row r="38" ht="15.75" customHeight="1">
      <c r="G38" s="4" t="s">
        <v>24</v>
      </c>
      <c r="H38" s="49"/>
      <c r="I38" s="4" t="s">
        <v>58</v>
      </c>
    </row>
    <row r="39" ht="15.75" customHeight="1">
      <c r="G39" s="4" t="s">
        <v>59</v>
      </c>
      <c r="H39" s="49"/>
      <c r="I39" s="3" t="s">
        <v>60</v>
      </c>
    </row>
    <row r="40" ht="15.75" customHeight="1">
      <c r="G40" s="4" t="s">
        <v>61</v>
      </c>
      <c r="H40" s="49"/>
      <c r="I40" s="3" t="s">
        <v>62</v>
      </c>
    </row>
    <row r="41" ht="15.75" customHeight="1">
      <c r="G41" s="4" t="s">
        <v>63</v>
      </c>
      <c r="H41" s="49"/>
      <c r="I41" s="4" t="s">
        <v>64</v>
      </c>
    </row>
    <row r="42" ht="15.75" customHeight="1">
      <c r="G42" s="4" t="s">
        <v>65</v>
      </c>
      <c r="H42" s="50"/>
      <c r="I42" s="3" t="s">
        <v>66</v>
      </c>
    </row>
    <row r="43" ht="15.75" customHeight="1">
      <c r="G43" s="4" t="s">
        <v>67</v>
      </c>
      <c r="H43" s="50"/>
      <c r="I43" s="3" t="s">
        <v>68</v>
      </c>
    </row>
    <row r="44" ht="15.75" customHeight="1">
      <c r="G44" s="4" t="s">
        <v>69</v>
      </c>
      <c r="H44" s="50"/>
      <c r="I44" s="4" t="s">
        <v>70</v>
      </c>
    </row>
    <row r="45" ht="15.75" customHeight="1">
      <c r="G45" s="4" t="s">
        <v>71</v>
      </c>
      <c r="H45" s="50"/>
      <c r="I45" s="3" t="s">
        <v>72</v>
      </c>
    </row>
    <row r="46" ht="15.75" customHeight="1">
      <c r="G46" s="51" t="s">
        <v>73</v>
      </c>
      <c r="H46" s="50"/>
      <c r="I46" s="3" t="s">
        <v>74</v>
      </c>
    </row>
    <row r="47" ht="15.75" customHeight="1">
      <c r="I47" s="52" t="s">
        <v>75</v>
      </c>
    </row>
    <row r="48" ht="15.75" customHeight="1">
      <c r="G48" s="53" t="s">
        <v>76</v>
      </c>
      <c r="H48" s="53" t="s">
        <v>77</v>
      </c>
    </row>
    <row r="49" ht="15.75" customHeight="1">
      <c r="G49" s="4" t="s">
        <v>78</v>
      </c>
      <c r="H49" s="47"/>
    </row>
    <row r="50" ht="15.75" customHeight="1">
      <c r="G50" s="4" t="s">
        <v>79</v>
      </c>
      <c r="H50" s="48"/>
    </row>
    <row r="51" ht="15.75" customHeight="1">
      <c r="G51" s="4" t="s">
        <v>80</v>
      </c>
      <c r="H51" s="49"/>
    </row>
    <row r="52" ht="15.75" customHeight="1">
      <c r="G52" s="4" t="s">
        <v>81</v>
      </c>
      <c r="H52" s="50"/>
    </row>
    <row r="53" ht="15.75" customHeight="1">
      <c r="G53" s="54"/>
      <c r="H53" s="54"/>
    </row>
    <row r="54" ht="15.75" customHeight="1">
      <c r="G54" s="54"/>
      <c r="H54" s="54"/>
    </row>
    <row r="55" ht="15.75" customHeight="1">
      <c r="G55" s="54"/>
      <c r="H55" s="54"/>
    </row>
    <row r="56" ht="15.75" customHeight="1">
      <c r="G56" s="54"/>
      <c r="H56" s="54"/>
    </row>
    <row r="57" ht="15.75" customHeight="1">
      <c r="A57" s="39" t="s">
        <v>82</v>
      </c>
      <c r="G57" s="54"/>
      <c r="H57" s="54"/>
    </row>
    <row r="58" ht="15.75" customHeight="1">
      <c r="A58" s="40" t="s">
        <v>83</v>
      </c>
      <c r="B58" s="40" t="s">
        <v>84</v>
      </c>
      <c r="G58" s="54"/>
      <c r="H58" s="54"/>
    </row>
    <row r="59" ht="15.75" customHeight="1">
      <c r="A59" s="40" t="s">
        <v>85</v>
      </c>
      <c r="B59" s="40" t="s">
        <v>86</v>
      </c>
      <c r="G59" s="54"/>
      <c r="H59" s="54"/>
    </row>
    <row r="60" ht="15.75" customHeight="1">
      <c r="A60" s="40" t="s">
        <v>87</v>
      </c>
      <c r="B60" s="40" t="s">
        <v>88</v>
      </c>
      <c r="G60" s="54"/>
      <c r="H60" s="54"/>
    </row>
    <row r="61" ht="15.75" customHeight="1">
      <c r="A61" s="40" t="s">
        <v>89</v>
      </c>
      <c r="B61" s="40" t="s">
        <v>90</v>
      </c>
      <c r="G61" s="54"/>
      <c r="H61" s="54"/>
    </row>
    <row r="62" ht="15.75" customHeight="1">
      <c r="C62" s="55"/>
      <c r="D62" s="47"/>
      <c r="E62" s="47"/>
      <c r="F62" s="47"/>
      <c r="G62" s="47"/>
      <c r="H62" s="47"/>
      <c r="I62" s="47"/>
      <c r="J62" s="47"/>
      <c r="K62" s="47"/>
    </row>
    <row r="63" ht="15.75" customHeight="1">
      <c r="A63" s="55" t="s">
        <v>91</v>
      </c>
      <c r="B63" s="56"/>
      <c r="C63" s="4"/>
    </row>
    <row r="64" ht="15.75" customHeight="1"/>
    <row r="65" ht="15.75" customHeight="1">
      <c r="A65" s="57" t="s">
        <v>92</v>
      </c>
    </row>
    <row r="66" ht="15.75" customHeight="1">
      <c r="A66" s="58" t="s">
        <v>93</v>
      </c>
      <c r="B66" s="59" t="s">
        <v>94</v>
      </c>
    </row>
    <row r="67" ht="15.75" customHeight="1">
      <c r="A67" s="58" t="s">
        <v>95</v>
      </c>
      <c r="B67" s="59" t="s">
        <v>96</v>
      </c>
    </row>
    <row r="68" ht="15.75" customHeight="1">
      <c r="A68" s="58" t="s">
        <v>97</v>
      </c>
      <c r="B68" s="59" t="s">
        <v>98</v>
      </c>
    </row>
    <row r="69" ht="15.75" customHeight="1">
      <c r="A69" s="58" t="s">
        <v>99</v>
      </c>
      <c r="B69" s="60" t="s">
        <v>100</v>
      </c>
    </row>
    <row r="70" ht="15.75" customHeight="1">
      <c r="A70" s="61" t="s">
        <v>101</v>
      </c>
      <c r="B70" s="60" t="s">
        <v>102</v>
      </c>
    </row>
    <row r="71" ht="15.75" customHeight="1">
      <c r="A71" s="58" t="s">
        <v>103</v>
      </c>
      <c r="B71" s="60" t="s">
        <v>104</v>
      </c>
    </row>
    <row r="72" ht="15.75" customHeight="1">
      <c r="A72" s="58" t="s">
        <v>105</v>
      </c>
      <c r="B72" s="62" t="s">
        <v>106</v>
      </c>
    </row>
    <row r="73" ht="15.75" customHeight="1">
      <c r="A73" s="58" t="s">
        <v>107</v>
      </c>
      <c r="B73" s="60" t="s">
        <v>108</v>
      </c>
    </row>
    <row r="74" ht="15.75" customHeight="1">
      <c r="A74" s="58" t="s">
        <v>109</v>
      </c>
      <c r="B74" s="60" t="s">
        <v>110</v>
      </c>
    </row>
    <row r="75" ht="15.75" customHeight="1">
      <c r="A75" s="58" t="s">
        <v>111</v>
      </c>
      <c r="B75" s="60" t="s">
        <v>112</v>
      </c>
    </row>
    <row r="76" ht="15.75" customHeight="1"/>
    <row r="77" ht="15.75" customHeight="1">
      <c r="A77" s="61" t="s">
        <v>113</v>
      </c>
      <c r="B77" s="63" t="s">
        <v>114</v>
      </c>
    </row>
    <row r="78" ht="15.75" customHeight="1">
      <c r="B78" s="64" t="s">
        <v>115</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hyperlinks>
    <hyperlink r:id="rId1" ref="H2"/>
    <hyperlink r:id="rId2" ref="H3"/>
    <hyperlink r:id="rId3" ref="H4"/>
    <hyperlink r:id="rId4" ref="H5"/>
    <hyperlink r:id="rId5" ref="H6"/>
    <hyperlink r:id="rId6" ref="H7"/>
    <hyperlink r:id="rId7" ref="H8"/>
    <hyperlink r:id="rId8" ref="H9"/>
    <hyperlink r:id="rId9" ref="H10"/>
  </hyperlinks>
  <drawing r:id="rId1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7.63"/>
    <col customWidth="1" min="2" max="2" width="7.38"/>
    <col customWidth="1" min="3" max="3" width="12.5"/>
    <col customWidth="1" min="4" max="4" width="11.25"/>
    <col customWidth="1" min="5" max="5" width="9.63"/>
    <col customWidth="1" min="6" max="6" width="13.25"/>
    <col customWidth="1" min="7" max="7" width="15.88"/>
    <col customWidth="1" min="8" max="8" width="12.25"/>
    <col customWidth="1" min="9" max="9" width="14.88"/>
    <col customWidth="1" min="10" max="10" width="13.88"/>
    <col customWidth="1" min="11" max="11" width="70.63"/>
    <col customWidth="1" min="12" max="12" width="23.25"/>
    <col customWidth="1" min="14" max="14" width="19.25"/>
    <col customWidth="1" min="15" max="15" width="15.63"/>
  </cols>
  <sheetData>
    <row r="1" ht="15.75" customHeight="1">
      <c r="A1" s="327" t="s">
        <v>433</v>
      </c>
      <c r="B1" s="25"/>
      <c r="C1" s="25"/>
      <c r="E1" s="173"/>
      <c r="F1" s="173"/>
      <c r="G1" s="328"/>
      <c r="H1" s="328"/>
      <c r="I1" s="329"/>
      <c r="J1" s="173"/>
      <c r="K1" s="173"/>
    </row>
    <row r="2" ht="10.5" customHeight="1">
      <c r="A2" s="25"/>
      <c r="B2" s="25"/>
      <c r="C2" s="25"/>
      <c r="E2" s="173"/>
      <c r="F2" s="173"/>
      <c r="G2" s="328"/>
      <c r="H2" s="328"/>
      <c r="I2" s="329"/>
      <c r="J2" s="173"/>
      <c r="K2" s="173"/>
    </row>
    <row r="3" ht="15.75" customHeight="1">
      <c r="A3" s="53" t="s">
        <v>434</v>
      </c>
      <c r="B3" s="53" t="s">
        <v>435</v>
      </c>
      <c r="C3" s="53" t="s">
        <v>56</v>
      </c>
      <c r="D3" s="173" t="s">
        <v>471</v>
      </c>
      <c r="E3" s="53" t="s">
        <v>472</v>
      </c>
      <c r="F3" s="328" t="s">
        <v>299</v>
      </c>
      <c r="G3" s="53" t="s">
        <v>264</v>
      </c>
      <c r="H3" s="330" t="s">
        <v>473</v>
      </c>
      <c r="I3" s="53" t="s">
        <v>274</v>
      </c>
      <c r="J3" s="173" t="s">
        <v>474</v>
      </c>
      <c r="K3" s="173" t="s">
        <v>192</v>
      </c>
      <c r="L3" s="294"/>
      <c r="M3" s="173"/>
      <c r="N3" s="294"/>
      <c r="O3" s="294"/>
      <c r="P3" s="294"/>
      <c r="Q3" s="294"/>
      <c r="R3" s="294"/>
      <c r="S3" s="294"/>
      <c r="T3" s="294"/>
      <c r="U3" s="294"/>
      <c r="V3" s="294"/>
      <c r="W3" s="294"/>
      <c r="X3" s="294"/>
      <c r="Y3" s="294"/>
      <c r="Z3" s="294"/>
      <c r="AA3" s="294"/>
      <c r="AB3" s="294"/>
      <c r="AC3" s="294"/>
      <c r="AD3" s="294"/>
      <c r="AE3" s="294"/>
    </row>
    <row r="4" ht="15.75" customHeight="1">
      <c r="A4" s="377" t="s">
        <v>457</v>
      </c>
      <c r="B4" s="378" t="s">
        <v>458</v>
      </c>
      <c r="C4" s="378" t="s">
        <v>459</v>
      </c>
      <c r="D4" s="379">
        <v>13.15</v>
      </c>
      <c r="E4" s="380"/>
      <c r="F4" s="381"/>
      <c r="G4" s="382"/>
      <c r="H4" s="382"/>
      <c r="I4" s="383"/>
      <c r="J4" s="384"/>
      <c r="K4" s="378"/>
      <c r="M4" s="180"/>
      <c r="N4" s="180"/>
      <c r="O4" s="180"/>
      <c r="P4" s="180"/>
      <c r="Q4" s="180"/>
      <c r="R4" s="180"/>
      <c r="S4" s="180"/>
      <c r="T4" s="180"/>
      <c r="U4" s="180"/>
      <c r="V4" s="180"/>
      <c r="W4" s="180"/>
      <c r="X4" s="180"/>
      <c r="Y4" s="180"/>
      <c r="Z4" s="180"/>
    </row>
    <row r="5" ht="15.75" customHeight="1">
      <c r="A5" s="377" t="s">
        <v>460</v>
      </c>
      <c r="B5" s="385" t="s">
        <v>461</v>
      </c>
      <c r="C5" s="386" t="s">
        <v>462</v>
      </c>
      <c r="D5" s="379">
        <v>8.0985</v>
      </c>
      <c r="E5" s="387"/>
      <c r="F5" s="381"/>
      <c r="G5" s="388"/>
      <c r="H5" s="388"/>
      <c r="I5" s="383"/>
      <c r="J5" s="384"/>
      <c r="K5" s="378"/>
      <c r="M5" s="389"/>
      <c r="N5" s="390"/>
      <c r="O5" s="391"/>
      <c r="P5" s="389"/>
      <c r="Q5" s="180"/>
      <c r="R5" s="180"/>
      <c r="S5" s="180"/>
      <c r="T5" s="180"/>
      <c r="U5" s="180"/>
      <c r="V5" s="180"/>
      <c r="W5" s="180"/>
      <c r="X5" s="180"/>
      <c r="Y5" s="180"/>
      <c r="Z5" s="180"/>
    </row>
    <row r="6" ht="15.75" customHeight="1">
      <c r="A6" s="377" t="s">
        <v>475</v>
      </c>
      <c r="B6" s="385" t="s">
        <v>476</v>
      </c>
      <c r="C6" s="385" t="s">
        <v>477</v>
      </c>
      <c r="D6" s="379">
        <v>1.7592</v>
      </c>
      <c r="E6" s="392"/>
      <c r="F6" s="393"/>
      <c r="G6" s="388"/>
      <c r="H6" s="388"/>
      <c r="I6" s="383"/>
      <c r="J6" s="384"/>
      <c r="K6" s="378"/>
      <c r="M6" s="180"/>
      <c r="N6" s="180"/>
      <c r="O6" s="180"/>
      <c r="P6" s="180"/>
      <c r="Q6" s="180"/>
      <c r="R6" s="180"/>
      <c r="S6" s="180"/>
      <c r="T6" s="180"/>
      <c r="U6" s="180"/>
      <c r="V6" s="180"/>
      <c r="W6" s="180"/>
      <c r="X6" s="180"/>
      <c r="Y6" s="180"/>
    </row>
    <row r="7" ht="15.75" customHeight="1">
      <c r="A7" s="394" t="s">
        <v>448</v>
      </c>
      <c r="B7" s="395" t="s">
        <v>449</v>
      </c>
      <c r="C7" s="395" t="s">
        <v>450</v>
      </c>
      <c r="D7" s="185" t="str">
        <f t="shared" ref="D7:D10" si="1">(I7-G7)/G7</f>
        <v>Loading...</v>
      </c>
      <c r="E7" s="396">
        <v>0.2</v>
      </c>
      <c r="F7" s="397">
        <v>20.0</v>
      </c>
      <c r="G7" s="398">
        <v>20.0</v>
      </c>
      <c r="H7" s="399" t="str">
        <f t="shared" ref="H7:H10" si="2">GECKOPRICE2(B7,"USD")</f>
        <v>Loading...</v>
      </c>
      <c r="I7" s="400" t="str">
        <f t="shared" ref="I7:I10" si="3">H7 * E7</f>
        <v>Loading...</v>
      </c>
      <c r="J7" s="401" t="str">
        <f t="shared" ref="J7:J10" si="4">I7-(E7*F7)</f>
        <v>Loading...</v>
      </c>
      <c r="K7" s="402" t="s">
        <v>478</v>
      </c>
    </row>
    <row r="8" ht="15.75" customHeight="1">
      <c r="A8" s="394" t="s">
        <v>448</v>
      </c>
      <c r="B8" s="395" t="s">
        <v>449</v>
      </c>
      <c r="C8" s="395" t="s">
        <v>450</v>
      </c>
      <c r="D8" s="185" t="str">
        <f t="shared" si="1"/>
        <v>Loading...</v>
      </c>
      <c r="E8" s="396">
        <v>1.0</v>
      </c>
      <c r="F8" s="397">
        <v>417.0</v>
      </c>
      <c r="G8" s="398">
        <f t="shared" ref="G8:G10" si="5">E8*F8</f>
        <v>417</v>
      </c>
      <c r="H8" s="399" t="str">
        <f t="shared" si="2"/>
        <v>Loading...</v>
      </c>
      <c r="I8" s="400" t="str">
        <f t="shared" si="3"/>
        <v>Loading...</v>
      </c>
      <c r="J8" s="401" t="str">
        <f t="shared" si="4"/>
        <v>Loading...</v>
      </c>
      <c r="K8" s="402" t="s">
        <v>479</v>
      </c>
    </row>
    <row r="9" ht="15.75" customHeight="1">
      <c r="A9" s="394" t="s">
        <v>448</v>
      </c>
      <c r="B9" s="403" t="s">
        <v>449</v>
      </c>
      <c r="C9" s="404" t="s">
        <v>480</v>
      </c>
      <c r="D9" s="185" t="str">
        <f t="shared" si="1"/>
        <v>Loading...</v>
      </c>
      <c r="E9" s="405">
        <v>1.38</v>
      </c>
      <c r="F9" s="406">
        <v>18326.71</v>
      </c>
      <c r="G9" s="338">
        <f t="shared" si="5"/>
        <v>25290.8598</v>
      </c>
      <c r="H9" s="399" t="str">
        <f t="shared" si="2"/>
        <v>Loading...</v>
      </c>
      <c r="I9" s="172" t="str">
        <f t="shared" si="3"/>
        <v>Loading...</v>
      </c>
      <c r="J9" s="407" t="str">
        <f t="shared" si="4"/>
        <v>Loading...</v>
      </c>
      <c r="K9" s="3" t="s">
        <v>481</v>
      </c>
    </row>
    <row r="10" ht="15.75" customHeight="1">
      <c r="A10" s="394" t="s">
        <v>452</v>
      </c>
      <c r="B10" s="403" t="s">
        <v>453</v>
      </c>
      <c r="C10" s="403" t="s">
        <v>454</v>
      </c>
      <c r="D10" s="185" t="str">
        <f t="shared" si="1"/>
        <v>Loading...</v>
      </c>
      <c r="E10" s="408">
        <v>10.0</v>
      </c>
      <c r="F10" s="406">
        <v>564.52</v>
      </c>
      <c r="G10" s="338">
        <f t="shared" si="5"/>
        <v>5645.2</v>
      </c>
      <c r="H10" s="399" t="str">
        <f t="shared" si="2"/>
        <v>Loading...</v>
      </c>
      <c r="I10" s="172" t="str">
        <f t="shared" si="3"/>
        <v>Loading...</v>
      </c>
      <c r="J10" s="407" t="str">
        <f t="shared" si="4"/>
        <v>Loading...</v>
      </c>
      <c r="K10" s="180" t="s">
        <v>482</v>
      </c>
      <c r="M10" s="180"/>
      <c r="N10" s="180"/>
      <c r="O10" s="180"/>
      <c r="P10" s="180"/>
      <c r="Q10" s="180"/>
      <c r="R10" s="180"/>
      <c r="S10" s="180"/>
      <c r="T10" s="180"/>
      <c r="U10" s="180"/>
      <c r="V10" s="180"/>
      <c r="W10" s="180"/>
      <c r="X10" s="180"/>
      <c r="Y10" s="180"/>
    </row>
    <row r="11" ht="15.75" customHeight="1">
      <c r="A11" s="223"/>
      <c r="C11" s="180"/>
      <c r="D11" s="409" t="str">
        <f>AVERAGE(D4:D10)</f>
        <v>Loading...</v>
      </c>
      <c r="E11" s="180"/>
      <c r="F11" s="38"/>
      <c r="G11" s="410">
        <f>sum(G7:G10)</f>
        <v>31373.0598</v>
      </c>
      <c r="H11" s="411"/>
      <c r="I11" s="412" t="str">
        <f>sum(I7:I10)</f>
        <v>Loading...</v>
      </c>
      <c r="J11" s="413" t="str">
        <f>I11-G11</f>
        <v>Loading...</v>
      </c>
      <c r="K11" s="180"/>
      <c r="L11" s="180"/>
      <c r="M11" s="180"/>
      <c r="N11" s="180"/>
      <c r="O11" s="180"/>
      <c r="P11" s="180"/>
      <c r="Q11" s="180"/>
      <c r="R11" s="180"/>
      <c r="S11" s="180"/>
      <c r="T11" s="180"/>
      <c r="U11" s="180"/>
      <c r="V11" s="180"/>
      <c r="W11" s="180"/>
      <c r="X11" s="180"/>
      <c r="Y11" s="180"/>
      <c r="Z11" s="180"/>
    </row>
    <row r="12" ht="15.75" customHeight="1">
      <c r="A12" s="339"/>
      <c r="B12" s="4"/>
      <c r="C12" s="414"/>
      <c r="E12" s="415"/>
      <c r="F12" s="376"/>
      <c r="G12" s="376"/>
      <c r="H12" s="416"/>
      <c r="I12" s="389"/>
      <c r="J12" s="404"/>
      <c r="K12" s="180"/>
      <c r="L12" s="180"/>
      <c r="M12" s="180"/>
      <c r="N12" s="180"/>
      <c r="O12" s="180"/>
      <c r="P12" s="180"/>
      <c r="Q12" s="180"/>
      <c r="R12" s="180"/>
      <c r="S12" s="180"/>
      <c r="T12" s="180"/>
      <c r="U12" s="180"/>
      <c r="V12" s="180"/>
      <c r="W12" s="180"/>
      <c r="X12" s="180"/>
      <c r="Y12" s="180"/>
      <c r="Z12" s="180"/>
    </row>
    <row r="13" ht="15.75" customHeight="1">
      <c r="A13" s="377" t="s">
        <v>483</v>
      </c>
      <c r="B13" s="417" t="s">
        <v>484</v>
      </c>
      <c r="C13" s="418" t="s">
        <v>485</v>
      </c>
      <c r="D13" s="419">
        <v>1.7333</v>
      </c>
      <c r="E13" s="420"/>
      <c r="F13" s="383"/>
      <c r="G13" s="383"/>
      <c r="H13" s="383"/>
      <c r="I13" s="421"/>
      <c r="J13" s="421"/>
      <c r="K13" s="418"/>
      <c r="L13" s="1"/>
      <c r="M13" s="1"/>
      <c r="N13" s="1"/>
      <c r="O13" s="1"/>
      <c r="P13" s="1"/>
      <c r="Q13" s="1"/>
      <c r="R13" s="1"/>
      <c r="S13" s="1"/>
      <c r="T13" s="1"/>
      <c r="U13" s="1"/>
      <c r="V13" s="1"/>
      <c r="W13" s="1"/>
      <c r="X13" s="1"/>
      <c r="Y13" s="1"/>
      <c r="Z13" s="1"/>
      <c r="AA13" s="1"/>
      <c r="AB13" s="1"/>
      <c r="AC13" s="1"/>
      <c r="AD13" s="1"/>
      <c r="AE13" s="1"/>
    </row>
    <row r="14" ht="15.75" customHeight="1">
      <c r="A14" s="377" t="s">
        <v>486</v>
      </c>
      <c r="B14" s="417" t="s">
        <v>487</v>
      </c>
      <c r="C14" s="422" t="s">
        <v>488</v>
      </c>
      <c r="D14" s="379">
        <v>3.3349</v>
      </c>
      <c r="E14" s="423"/>
      <c r="F14" s="383"/>
      <c r="G14" s="424"/>
      <c r="H14" s="388"/>
      <c r="I14" s="425"/>
      <c r="J14" s="384"/>
      <c r="K14" s="426"/>
      <c r="L14" s="180"/>
      <c r="M14" s="180"/>
      <c r="N14" s="180"/>
      <c r="O14" s="180"/>
      <c r="P14" s="180"/>
      <c r="Q14" s="180"/>
      <c r="R14" s="180"/>
      <c r="S14" s="180"/>
      <c r="T14" s="180"/>
      <c r="U14" s="180"/>
      <c r="V14" s="180"/>
      <c r="W14" s="180"/>
      <c r="X14" s="180"/>
      <c r="Y14" s="180"/>
      <c r="Z14" s="180"/>
    </row>
    <row r="15" ht="15.75" customHeight="1">
      <c r="A15" s="377" t="s">
        <v>489</v>
      </c>
      <c r="B15" s="417" t="s">
        <v>490</v>
      </c>
      <c r="C15" s="422" t="s">
        <v>491</v>
      </c>
      <c r="D15" s="379">
        <v>4.2738</v>
      </c>
      <c r="E15" s="427"/>
      <c r="F15" s="383"/>
      <c r="G15" s="424"/>
      <c r="H15" s="388"/>
      <c r="I15" s="425"/>
      <c r="J15" s="384"/>
      <c r="K15" s="426"/>
      <c r="L15" s="180"/>
      <c r="M15" s="180"/>
      <c r="N15" s="180"/>
      <c r="O15" s="180"/>
      <c r="P15" s="180"/>
      <c r="Q15" s="180"/>
      <c r="R15" s="180"/>
      <c r="S15" s="180"/>
      <c r="T15" s="180"/>
      <c r="U15" s="180"/>
      <c r="V15" s="180"/>
      <c r="W15" s="180"/>
      <c r="X15" s="180"/>
      <c r="Y15" s="180"/>
      <c r="Z15" s="180"/>
    </row>
    <row r="16" ht="15.75" customHeight="1">
      <c r="A16" s="377" t="s">
        <v>492</v>
      </c>
      <c r="B16" s="417" t="s">
        <v>493</v>
      </c>
      <c r="C16" s="422" t="s">
        <v>494</v>
      </c>
      <c r="D16" s="379">
        <v>31.3897</v>
      </c>
      <c r="E16" s="427"/>
      <c r="F16" s="383"/>
      <c r="G16" s="424"/>
      <c r="H16" s="388"/>
      <c r="I16" s="425"/>
      <c r="J16" s="384"/>
      <c r="K16" s="426"/>
      <c r="L16" s="180"/>
      <c r="M16" s="180"/>
      <c r="N16" s="180"/>
      <c r="O16" s="180"/>
      <c r="P16" s="180"/>
      <c r="Q16" s="180"/>
      <c r="R16" s="180"/>
      <c r="S16" s="180"/>
      <c r="T16" s="180"/>
      <c r="U16" s="180"/>
      <c r="V16" s="180"/>
      <c r="W16" s="180"/>
      <c r="X16" s="180"/>
      <c r="Y16" s="180"/>
      <c r="Z16" s="180"/>
    </row>
    <row r="17" ht="15.75" customHeight="1">
      <c r="A17" s="394" t="s">
        <v>448</v>
      </c>
      <c r="B17" s="428" t="s">
        <v>449</v>
      </c>
      <c r="C17" s="429" t="s">
        <v>450</v>
      </c>
      <c r="D17" s="185" t="str">
        <f t="shared" ref="D17:D31" si="6">(I17-G17)/G17</f>
        <v>Loading...</v>
      </c>
      <c r="E17" s="430">
        <v>0.49466313</v>
      </c>
      <c r="F17" s="389">
        <f t="shared" ref="F17:F22" si="7">G17/E17</f>
        <v>18000.0074</v>
      </c>
      <c r="G17" s="431">
        <v>8903.94</v>
      </c>
      <c r="H17" s="399" t="str">
        <f t="shared" ref="H17:H31" si="8">GECKOPRICE2(B17,"USD")</f>
        <v>Loading...</v>
      </c>
      <c r="I17" s="432" t="str">
        <f t="shared" ref="I17:I31" si="9">H17*E17</f>
        <v>Loading...</v>
      </c>
      <c r="J17" s="407" t="str">
        <f t="shared" ref="J17:J31" si="10">I17-(E17*F17)</f>
        <v>Loading...</v>
      </c>
      <c r="K17" s="433"/>
      <c r="L17" s="180"/>
      <c r="M17" s="180"/>
      <c r="N17" s="180"/>
      <c r="O17" s="180"/>
      <c r="P17" s="180"/>
      <c r="Q17" s="180"/>
      <c r="R17" s="180"/>
      <c r="S17" s="180"/>
      <c r="T17" s="180"/>
      <c r="U17" s="180"/>
      <c r="V17" s="180"/>
      <c r="W17" s="180"/>
      <c r="X17" s="180"/>
      <c r="Y17" s="180"/>
      <c r="Z17" s="180"/>
    </row>
    <row r="18" ht="15.75" customHeight="1">
      <c r="A18" s="394" t="s">
        <v>448</v>
      </c>
      <c r="B18" s="428" t="s">
        <v>449</v>
      </c>
      <c r="C18" s="429" t="s">
        <v>450</v>
      </c>
      <c r="D18" s="185" t="str">
        <f t="shared" si="6"/>
        <v>Loading...</v>
      </c>
      <c r="E18" s="434">
        <v>0.07911232</v>
      </c>
      <c r="F18" s="389">
        <f t="shared" si="7"/>
        <v>18960.38443</v>
      </c>
      <c r="G18" s="431">
        <v>1500.0</v>
      </c>
      <c r="H18" s="399" t="str">
        <f t="shared" si="8"/>
        <v>Loading...</v>
      </c>
      <c r="I18" s="432" t="str">
        <f t="shared" si="9"/>
        <v>Loading...</v>
      </c>
      <c r="J18" s="407" t="str">
        <f t="shared" si="10"/>
        <v>Loading...</v>
      </c>
      <c r="K18" s="433"/>
      <c r="L18" s="180"/>
      <c r="M18" s="180"/>
      <c r="N18" s="180"/>
      <c r="O18" s="180"/>
      <c r="P18" s="180"/>
      <c r="Q18" s="180"/>
      <c r="R18" s="180"/>
      <c r="S18" s="180"/>
      <c r="T18" s="180"/>
      <c r="U18" s="180"/>
      <c r="V18" s="180"/>
      <c r="W18" s="180"/>
      <c r="X18" s="180"/>
      <c r="Y18" s="180"/>
      <c r="Z18" s="180"/>
    </row>
    <row r="19" ht="15.75" customHeight="1">
      <c r="A19" s="394" t="s">
        <v>452</v>
      </c>
      <c r="B19" s="428" t="s">
        <v>453</v>
      </c>
      <c r="C19" s="429" t="s">
        <v>454</v>
      </c>
      <c r="D19" s="185" t="str">
        <f t="shared" si="6"/>
        <v>Loading...</v>
      </c>
      <c r="E19" s="430">
        <v>1.76970742</v>
      </c>
      <c r="F19" s="389">
        <f t="shared" si="7"/>
        <v>985.32</v>
      </c>
      <c r="G19" s="431">
        <v>1743.7281150744002</v>
      </c>
      <c r="H19" s="399" t="str">
        <f t="shared" si="8"/>
        <v>Loading...</v>
      </c>
      <c r="I19" s="432" t="str">
        <f t="shared" si="9"/>
        <v>Loading...</v>
      </c>
      <c r="J19" s="407" t="str">
        <f t="shared" si="10"/>
        <v>Loading...</v>
      </c>
      <c r="K19" s="433"/>
      <c r="L19" s="180"/>
      <c r="M19" s="180"/>
      <c r="N19" s="180"/>
      <c r="O19" s="180"/>
      <c r="P19" s="180"/>
      <c r="Q19" s="180"/>
      <c r="R19" s="180"/>
      <c r="S19" s="180"/>
      <c r="T19" s="180"/>
      <c r="U19" s="180"/>
      <c r="V19" s="180"/>
      <c r="W19" s="180"/>
      <c r="X19" s="180"/>
      <c r="Y19" s="180"/>
      <c r="Z19" s="180"/>
    </row>
    <row r="20" ht="15.75" customHeight="1">
      <c r="A20" s="394" t="s">
        <v>452</v>
      </c>
      <c r="B20" s="428" t="s">
        <v>453</v>
      </c>
      <c r="C20" s="429" t="s">
        <v>454</v>
      </c>
      <c r="D20" s="185" t="str">
        <f t="shared" si="6"/>
        <v>Loading...</v>
      </c>
      <c r="E20" s="434">
        <v>7.14504055</v>
      </c>
      <c r="F20" s="389">
        <f t="shared" si="7"/>
        <v>773.9634172</v>
      </c>
      <c r="G20" s="431">
        <v>5530.0</v>
      </c>
      <c r="H20" s="399" t="str">
        <f t="shared" si="8"/>
        <v>Loading...</v>
      </c>
      <c r="I20" s="432" t="str">
        <f t="shared" si="9"/>
        <v>Loading...</v>
      </c>
      <c r="J20" s="407" t="str">
        <f t="shared" si="10"/>
        <v>Loading...</v>
      </c>
      <c r="K20" s="433"/>
      <c r="L20" s="180"/>
      <c r="M20" s="180"/>
      <c r="N20" s="180"/>
      <c r="O20" s="180"/>
      <c r="P20" s="180"/>
      <c r="Q20" s="180"/>
      <c r="R20" s="180"/>
      <c r="S20" s="180"/>
      <c r="T20" s="180"/>
      <c r="U20" s="180"/>
      <c r="V20" s="180"/>
      <c r="W20" s="180"/>
      <c r="X20" s="180"/>
      <c r="Y20" s="180"/>
      <c r="Z20" s="180"/>
    </row>
    <row r="21" ht="15.75" customHeight="1">
      <c r="A21" s="394" t="s">
        <v>495</v>
      </c>
      <c r="B21" s="428" t="s">
        <v>496</v>
      </c>
      <c r="C21" s="429" t="s">
        <v>497</v>
      </c>
      <c r="D21" s="185" t="str">
        <f t="shared" si="6"/>
        <v>Loading...</v>
      </c>
      <c r="E21" s="434">
        <v>23.08980161</v>
      </c>
      <c r="F21" s="389">
        <f t="shared" si="7"/>
        <v>108.2729095</v>
      </c>
      <c r="G21" s="431">
        <v>2500.0</v>
      </c>
      <c r="H21" s="399" t="str">
        <f t="shared" si="8"/>
        <v>Loading...</v>
      </c>
      <c r="I21" s="432" t="str">
        <f t="shared" si="9"/>
        <v>Loading...</v>
      </c>
      <c r="J21" s="407" t="str">
        <f t="shared" si="10"/>
        <v>Loading...</v>
      </c>
      <c r="K21" s="433"/>
      <c r="L21" s="180"/>
      <c r="M21" s="180"/>
      <c r="N21" s="180"/>
      <c r="O21" s="180"/>
      <c r="P21" s="180"/>
      <c r="Q21" s="180"/>
      <c r="R21" s="180"/>
      <c r="S21" s="180"/>
      <c r="T21" s="180"/>
      <c r="U21" s="180"/>
      <c r="V21" s="180"/>
      <c r="W21" s="180"/>
      <c r="X21" s="180"/>
      <c r="Y21" s="180"/>
      <c r="Z21" s="180"/>
    </row>
    <row r="22" ht="15.75" customHeight="1">
      <c r="A22" s="394" t="s">
        <v>498</v>
      </c>
      <c r="B22" s="428" t="s">
        <v>499</v>
      </c>
      <c r="C22" s="429" t="s">
        <v>500</v>
      </c>
      <c r="D22" s="185" t="str">
        <f t="shared" si="6"/>
        <v>Loading...</v>
      </c>
      <c r="E22" s="435">
        <v>1.61072095</v>
      </c>
      <c r="F22" s="389">
        <f t="shared" si="7"/>
        <v>310.4200017</v>
      </c>
      <c r="G22" s="431">
        <v>500.0</v>
      </c>
      <c r="H22" s="399" t="str">
        <f t="shared" si="8"/>
        <v>Loading...</v>
      </c>
      <c r="I22" s="432" t="str">
        <f t="shared" si="9"/>
        <v>Loading...</v>
      </c>
      <c r="J22" s="407" t="str">
        <f t="shared" si="10"/>
        <v>Loading...</v>
      </c>
      <c r="K22" s="433"/>
      <c r="L22" s="180"/>
      <c r="M22" s="180"/>
      <c r="N22" s="180"/>
      <c r="O22" s="180"/>
      <c r="P22" s="180"/>
      <c r="Q22" s="180"/>
      <c r="R22" s="180"/>
      <c r="S22" s="180"/>
      <c r="T22" s="180"/>
      <c r="U22" s="180"/>
      <c r="V22" s="180"/>
      <c r="W22" s="180"/>
      <c r="X22" s="180"/>
      <c r="Y22" s="180"/>
      <c r="Z22" s="180"/>
    </row>
    <row r="23" ht="15.75" customHeight="1">
      <c r="A23" s="394" t="s">
        <v>483</v>
      </c>
      <c r="B23" s="428" t="s">
        <v>484</v>
      </c>
      <c r="C23" s="429" t="s">
        <v>485</v>
      </c>
      <c r="D23" s="185" t="str">
        <f t="shared" si="6"/>
        <v>Loading...</v>
      </c>
      <c r="E23" s="436">
        <v>1000.0</v>
      </c>
      <c r="F23" s="389">
        <v>2.32</v>
      </c>
      <c r="G23" s="431">
        <f>E23*F23</f>
        <v>2320</v>
      </c>
      <c r="H23" s="399" t="str">
        <f t="shared" si="8"/>
        <v>Loading...</v>
      </c>
      <c r="I23" s="432" t="str">
        <f t="shared" si="9"/>
        <v>Loading...</v>
      </c>
      <c r="J23" s="407" t="str">
        <f t="shared" si="10"/>
        <v>Loading...</v>
      </c>
      <c r="K23" s="437"/>
      <c r="L23" s="180"/>
      <c r="M23" s="180"/>
      <c r="N23" s="180"/>
      <c r="O23" s="180"/>
      <c r="P23" s="180"/>
      <c r="Q23" s="180"/>
      <c r="R23" s="180"/>
      <c r="S23" s="180"/>
      <c r="T23" s="180"/>
      <c r="U23" s="180"/>
      <c r="V23" s="180"/>
      <c r="W23" s="180"/>
      <c r="X23" s="180"/>
      <c r="Y23" s="180"/>
      <c r="Z23" s="180"/>
    </row>
    <row r="24" ht="15.75" customHeight="1">
      <c r="A24" s="394" t="s">
        <v>475</v>
      </c>
      <c r="B24" s="428" t="s">
        <v>476</v>
      </c>
      <c r="C24" s="429" t="s">
        <v>501</v>
      </c>
      <c r="D24" s="185" t="str">
        <f t="shared" si="6"/>
        <v>Loading...</v>
      </c>
      <c r="E24" s="430">
        <v>216.69768362</v>
      </c>
      <c r="F24" s="389">
        <f t="shared" ref="F24:F30" si="11">G24/E24</f>
        <v>13.64093954</v>
      </c>
      <c r="G24" s="431">
        <v>2955.96</v>
      </c>
      <c r="H24" s="399" t="str">
        <f t="shared" si="8"/>
        <v>Loading...</v>
      </c>
      <c r="I24" s="432" t="str">
        <f t="shared" si="9"/>
        <v>Loading...</v>
      </c>
      <c r="J24" s="407" t="str">
        <f t="shared" si="10"/>
        <v>Loading...</v>
      </c>
      <c r="K24" s="433"/>
      <c r="L24" s="180"/>
      <c r="M24" s="180"/>
      <c r="N24" s="180"/>
      <c r="O24" s="180"/>
      <c r="P24" s="180"/>
      <c r="Q24" s="180"/>
      <c r="R24" s="180"/>
      <c r="S24" s="180"/>
      <c r="T24" s="180"/>
      <c r="U24" s="180"/>
      <c r="V24" s="180"/>
      <c r="W24" s="180"/>
      <c r="X24" s="180"/>
      <c r="Y24" s="180"/>
      <c r="Z24" s="180"/>
    </row>
    <row r="25" ht="15.75" customHeight="1">
      <c r="A25" s="394" t="s">
        <v>502</v>
      </c>
      <c r="B25" s="428" t="s">
        <v>503</v>
      </c>
      <c r="C25" s="429" t="s">
        <v>504</v>
      </c>
      <c r="D25" s="185" t="str">
        <f t="shared" si="6"/>
        <v>Loading...</v>
      </c>
      <c r="E25" s="438">
        <v>1903.81766368</v>
      </c>
      <c r="F25" s="389">
        <f t="shared" si="11"/>
        <v>0.05095551</v>
      </c>
      <c r="G25" s="431">
        <v>97.01</v>
      </c>
      <c r="H25" s="399" t="str">
        <f t="shared" si="8"/>
        <v>Loading...</v>
      </c>
      <c r="I25" s="432" t="str">
        <f t="shared" si="9"/>
        <v>Loading...</v>
      </c>
      <c r="J25" s="407" t="str">
        <f t="shared" si="10"/>
        <v>Loading...</v>
      </c>
      <c r="K25" s="433"/>
      <c r="L25" s="180"/>
      <c r="M25" s="180"/>
      <c r="N25" s="180"/>
      <c r="O25" s="180"/>
      <c r="P25" s="180"/>
      <c r="Q25" s="180"/>
      <c r="R25" s="180"/>
      <c r="S25" s="180"/>
      <c r="T25" s="180"/>
      <c r="U25" s="180"/>
      <c r="V25" s="180"/>
      <c r="W25" s="180"/>
      <c r="X25" s="180"/>
      <c r="Y25" s="180"/>
      <c r="Z25" s="180"/>
    </row>
    <row r="26" ht="15.75" customHeight="1">
      <c r="A26" s="394" t="s">
        <v>505</v>
      </c>
      <c r="B26" s="428" t="s">
        <v>506</v>
      </c>
      <c r="C26" s="429" t="s">
        <v>507</v>
      </c>
      <c r="D26" s="185" t="str">
        <f t="shared" si="6"/>
        <v>Loading...</v>
      </c>
      <c r="E26" s="430">
        <v>551.26992109</v>
      </c>
      <c r="F26" s="389">
        <f t="shared" si="11"/>
        <v>0.1759755</v>
      </c>
      <c r="G26" s="431">
        <v>97.01</v>
      </c>
      <c r="H26" s="399" t="str">
        <f t="shared" si="8"/>
        <v>Loading...</v>
      </c>
      <c r="I26" s="432" t="str">
        <f t="shared" si="9"/>
        <v>Loading...</v>
      </c>
      <c r="J26" s="407" t="str">
        <f t="shared" si="10"/>
        <v>Loading...</v>
      </c>
      <c r="K26" s="433"/>
      <c r="L26" s="180"/>
      <c r="M26" s="180"/>
      <c r="N26" s="180"/>
      <c r="O26" s="180"/>
      <c r="P26" s="180"/>
      <c r="Q26" s="180"/>
      <c r="R26" s="180"/>
      <c r="S26" s="180"/>
      <c r="T26" s="180"/>
      <c r="U26" s="180"/>
      <c r="V26" s="180"/>
      <c r="W26" s="180"/>
      <c r="X26" s="180"/>
      <c r="Y26" s="180"/>
      <c r="Z26" s="180"/>
    </row>
    <row r="27" ht="15.75" customHeight="1">
      <c r="A27" s="394" t="s">
        <v>508</v>
      </c>
      <c r="B27" s="428" t="s">
        <v>509</v>
      </c>
      <c r="C27" s="429" t="s">
        <v>510</v>
      </c>
      <c r="D27" s="185" t="str">
        <f t="shared" si="6"/>
        <v>Loading...</v>
      </c>
      <c r="E27" s="430">
        <v>572.85589</v>
      </c>
      <c r="F27" s="389">
        <f t="shared" si="11"/>
        <v>0.16934451</v>
      </c>
      <c r="G27" s="431">
        <v>97.01</v>
      </c>
      <c r="H27" s="399" t="str">
        <f t="shared" si="8"/>
        <v>Loading...</v>
      </c>
      <c r="I27" s="432" t="str">
        <f t="shared" si="9"/>
        <v>Loading...</v>
      </c>
      <c r="J27" s="407" t="str">
        <f t="shared" si="10"/>
        <v>Loading...</v>
      </c>
      <c r="K27" s="433"/>
      <c r="L27" s="180"/>
      <c r="M27" s="180"/>
      <c r="N27" s="180"/>
      <c r="O27" s="180"/>
      <c r="P27" s="180"/>
      <c r="Q27" s="180"/>
      <c r="R27" s="180"/>
      <c r="S27" s="180"/>
      <c r="T27" s="180"/>
      <c r="U27" s="180"/>
      <c r="V27" s="180"/>
      <c r="W27" s="180"/>
      <c r="X27" s="180"/>
      <c r="Y27" s="180"/>
      <c r="Z27" s="180"/>
    </row>
    <row r="28" ht="15.75" customHeight="1">
      <c r="A28" s="394" t="s">
        <v>511</v>
      </c>
      <c r="B28" s="428" t="s">
        <v>512</v>
      </c>
      <c r="C28" s="429" t="s">
        <v>513</v>
      </c>
      <c r="D28" s="185" t="str">
        <f t="shared" si="6"/>
        <v>Loading...</v>
      </c>
      <c r="E28" s="430">
        <v>338.57370461</v>
      </c>
      <c r="F28" s="389">
        <f t="shared" si="11"/>
        <v>0.2865255</v>
      </c>
      <c r="G28" s="431">
        <v>97.01</v>
      </c>
      <c r="H28" s="399" t="str">
        <f t="shared" si="8"/>
        <v>Loading...</v>
      </c>
      <c r="I28" s="432" t="str">
        <f t="shared" si="9"/>
        <v>Loading...</v>
      </c>
      <c r="J28" s="407" t="str">
        <f t="shared" si="10"/>
        <v>Loading...</v>
      </c>
      <c r="K28" s="433"/>
      <c r="L28" s="180"/>
      <c r="M28" s="180"/>
      <c r="N28" s="180"/>
      <c r="O28" s="180"/>
      <c r="P28" s="180"/>
      <c r="Q28" s="180"/>
      <c r="R28" s="180"/>
      <c r="S28" s="180"/>
      <c r="T28" s="180"/>
      <c r="U28" s="180"/>
      <c r="V28" s="180"/>
      <c r="W28" s="180"/>
      <c r="X28" s="180"/>
      <c r="Y28" s="180"/>
      <c r="Z28" s="180"/>
    </row>
    <row r="29" ht="15.75" customHeight="1">
      <c r="A29" s="394" t="s">
        <v>514</v>
      </c>
      <c r="B29" s="428" t="s">
        <v>515</v>
      </c>
      <c r="C29" s="429" t="s">
        <v>516</v>
      </c>
      <c r="D29" s="185" t="str">
        <f t="shared" si="6"/>
        <v>Loading...</v>
      </c>
      <c r="E29" s="434">
        <v>353.634554</v>
      </c>
      <c r="F29" s="389">
        <f t="shared" si="11"/>
        <v>0.4100843607</v>
      </c>
      <c r="G29" s="431">
        <v>145.02</v>
      </c>
      <c r="H29" s="399" t="str">
        <f t="shared" si="8"/>
        <v>Loading...</v>
      </c>
      <c r="I29" s="432" t="str">
        <f t="shared" si="9"/>
        <v>Loading...</v>
      </c>
      <c r="J29" s="407" t="str">
        <f t="shared" si="10"/>
        <v>Loading...</v>
      </c>
      <c r="K29" s="433"/>
      <c r="L29" s="180"/>
      <c r="M29" s="180"/>
      <c r="N29" s="180"/>
      <c r="O29" s="180"/>
      <c r="P29" s="180"/>
      <c r="Q29" s="180"/>
      <c r="R29" s="180"/>
      <c r="S29" s="180"/>
      <c r="T29" s="180"/>
      <c r="U29" s="180"/>
      <c r="V29" s="180"/>
      <c r="W29" s="180"/>
      <c r="X29" s="180"/>
      <c r="Y29" s="180"/>
      <c r="Z29" s="180"/>
    </row>
    <row r="30" ht="15.75" customHeight="1">
      <c r="A30" s="394" t="s">
        <v>517</v>
      </c>
      <c r="B30" s="428" t="s">
        <v>518</v>
      </c>
      <c r="C30" s="429" t="s">
        <v>519</v>
      </c>
      <c r="D30" s="185" t="str">
        <f t="shared" si="6"/>
        <v>Loading...</v>
      </c>
      <c r="E30" s="434">
        <v>18.548853</v>
      </c>
      <c r="F30" s="389">
        <f t="shared" si="11"/>
        <v>5.22997298</v>
      </c>
      <c r="G30" s="431">
        <v>97.01</v>
      </c>
      <c r="H30" s="399" t="str">
        <f t="shared" si="8"/>
        <v>Loading...</v>
      </c>
      <c r="I30" s="432" t="str">
        <f t="shared" si="9"/>
        <v>Loading...</v>
      </c>
      <c r="J30" s="407" t="str">
        <f t="shared" si="10"/>
        <v>Loading...</v>
      </c>
      <c r="K30" s="433"/>
      <c r="L30" s="180"/>
      <c r="M30" s="180"/>
      <c r="N30" s="180"/>
      <c r="O30" s="180"/>
      <c r="P30" s="180"/>
      <c r="Q30" s="180"/>
      <c r="R30" s="180"/>
      <c r="S30" s="180"/>
      <c r="T30" s="180"/>
      <c r="U30" s="180"/>
      <c r="V30" s="180"/>
      <c r="W30" s="180"/>
      <c r="X30" s="180"/>
      <c r="Y30" s="180"/>
      <c r="Z30" s="180"/>
    </row>
    <row r="31" ht="15.75" customHeight="1">
      <c r="A31" s="394" t="s">
        <v>492</v>
      </c>
      <c r="B31" s="428" t="s">
        <v>493</v>
      </c>
      <c r="C31" s="429" t="s">
        <v>494</v>
      </c>
      <c r="D31" s="185" t="str">
        <f t="shared" si="6"/>
        <v>Loading...</v>
      </c>
      <c r="E31" s="436">
        <v>100.0</v>
      </c>
      <c r="F31" s="389">
        <v>0.09</v>
      </c>
      <c r="G31" s="431">
        <f>E31*F31</f>
        <v>9</v>
      </c>
      <c r="H31" s="399" t="str">
        <f t="shared" si="8"/>
        <v>Loading...</v>
      </c>
      <c r="I31" s="432" t="str">
        <f t="shared" si="9"/>
        <v>Loading...</v>
      </c>
      <c r="J31" s="407" t="str">
        <f t="shared" si="10"/>
        <v>Loading...</v>
      </c>
      <c r="K31" s="433"/>
      <c r="L31" s="180"/>
      <c r="M31" s="180"/>
      <c r="N31" s="180"/>
      <c r="O31" s="180"/>
      <c r="P31" s="180"/>
      <c r="Q31" s="180"/>
      <c r="R31" s="180"/>
      <c r="S31" s="180"/>
      <c r="T31" s="180"/>
      <c r="U31" s="180"/>
      <c r="V31" s="180"/>
      <c r="W31" s="180"/>
      <c r="X31" s="180"/>
      <c r="Y31" s="180"/>
      <c r="Z31" s="180"/>
    </row>
    <row r="32" ht="15.75" customHeight="1">
      <c r="A32" s="339"/>
      <c r="C32" s="180"/>
      <c r="D32" s="409" t="str">
        <f>AVERAGE(D13:D31)</f>
        <v>Loading...</v>
      </c>
      <c r="E32" s="180"/>
      <c r="F32" s="38"/>
      <c r="G32" s="413">
        <f>sum(G17:G31)</f>
        <v>26592.69812</v>
      </c>
      <c r="H32" s="411"/>
      <c r="I32" s="412" t="str">
        <f>sum(I17:I31)</f>
        <v>Loading...</v>
      </c>
      <c r="J32" s="413" t="str">
        <f>I32-G32</f>
        <v>Loading...</v>
      </c>
    </row>
    <row r="33" ht="15.75" customHeight="1">
      <c r="A33" s="339"/>
      <c r="C33" s="180"/>
      <c r="E33" s="180"/>
      <c r="F33" s="38"/>
      <c r="G33" s="38"/>
      <c r="H33" s="376"/>
      <c r="I33" s="439"/>
    </row>
    <row r="34" ht="15.75" customHeight="1">
      <c r="A34" s="25" t="s">
        <v>520</v>
      </c>
      <c r="B34" s="195"/>
      <c r="C34" s="195"/>
      <c r="D34" s="440" t="s">
        <v>521</v>
      </c>
      <c r="E34" s="195" t="s">
        <v>522</v>
      </c>
      <c r="F34" s="441"/>
      <c r="G34" s="38"/>
      <c r="H34" s="376"/>
      <c r="I34" s="442"/>
      <c r="J34" s="442"/>
      <c r="K34" s="180"/>
      <c r="L34" s="180"/>
      <c r="M34" s="180"/>
      <c r="N34" s="180"/>
      <c r="O34" s="180"/>
      <c r="P34" s="180"/>
      <c r="Q34" s="180"/>
      <c r="R34" s="180"/>
      <c r="S34" s="180"/>
      <c r="T34" s="180"/>
      <c r="U34" s="180"/>
      <c r="V34" s="180"/>
      <c r="W34" s="180"/>
      <c r="X34" s="180"/>
      <c r="Y34" s="180"/>
      <c r="Z34" s="180"/>
    </row>
    <row r="35" ht="15.75" customHeight="1">
      <c r="A35" s="443" t="s">
        <v>523</v>
      </c>
      <c r="B35" s="444" t="s">
        <v>524</v>
      </c>
      <c r="C35" s="445" t="s">
        <v>525</v>
      </c>
      <c r="D35" s="446">
        <v>0.0039</v>
      </c>
      <c r="E35" s="444"/>
      <c r="F35" s="447"/>
      <c r="G35" s="448"/>
      <c r="H35" s="382"/>
      <c r="I35" s="388"/>
      <c r="J35" s="449"/>
      <c r="K35" s="378" t="s">
        <v>526</v>
      </c>
      <c r="L35" s="180"/>
      <c r="M35" s="180"/>
      <c r="N35" s="180"/>
      <c r="O35" s="180"/>
      <c r="P35" s="180"/>
      <c r="Q35" s="180"/>
      <c r="R35" s="180"/>
      <c r="S35" s="180"/>
      <c r="T35" s="180"/>
      <c r="U35" s="180"/>
      <c r="V35" s="180"/>
      <c r="W35" s="180"/>
      <c r="X35" s="180"/>
      <c r="Y35" s="180"/>
      <c r="Z35" s="180"/>
    </row>
    <row r="36" ht="15.75" customHeight="1">
      <c r="A36" s="450" t="s">
        <v>527</v>
      </c>
      <c r="B36" s="444" t="s">
        <v>528</v>
      </c>
      <c r="C36" s="445" t="s">
        <v>529</v>
      </c>
      <c r="D36" s="446">
        <v>2.14</v>
      </c>
      <c r="E36" s="444"/>
      <c r="F36" s="447"/>
      <c r="G36" s="448"/>
      <c r="H36" s="382"/>
      <c r="I36" s="388"/>
      <c r="J36" s="449"/>
      <c r="K36" s="378" t="s">
        <v>530</v>
      </c>
      <c r="M36" s="180"/>
      <c r="N36" s="180"/>
      <c r="O36" s="180"/>
      <c r="P36" s="180"/>
      <c r="Q36" s="180"/>
      <c r="R36" s="180"/>
      <c r="S36" s="180"/>
      <c r="T36" s="180"/>
      <c r="U36" s="180"/>
      <c r="V36" s="180"/>
      <c r="W36" s="180"/>
      <c r="X36" s="180"/>
      <c r="Y36" s="180"/>
      <c r="Z36" s="180"/>
    </row>
    <row r="37" ht="15.75" customHeight="1">
      <c r="A37" s="443" t="s">
        <v>498</v>
      </c>
      <c r="B37" s="444" t="s">
        <v>499</v>
      </c>
      <c r="C37" s="451" t="s">
        <v>500</v>
      </c>
      <c r="D37" s="446">
        <v>0.103</v>
      </c>
      <c r="E37" s="444"/>
      <c r="F37" s="447"/>
      <c r="G37" s="448"/>
      <c r="H37" s="382"/>
      <c r="I37" s="388"/>
      <c r="J37" s="449"/>
      <c r="K37" s="378" t="s">
        <v>531</v>
      </c>
      <c r="L37" s="180"/>
      <c r="M37" s="180"/>
      <c r="N37" s="180"/>
      <c r="O37" s="180"/>
      <c r="P37" s="180"/>
      <c r="Q37" s="180"/>
      <c r="R37" s="180"/>
      <c r="S37" s="180"/>
      <c r="T37" s="180"/>
      <c r="U37" s="180"/>
      <c r="V37" s="180"/>
      <c r="W37" s="180"/>
      <c r="X37" s="180"/>
      <c r="Y37" s="180"/>
      <c r="Z37" s="180"/>
    </row>
    <row r="38" ht="15.75" customHeight="1">
      <c r="A38" s="443" t="s">
        <v>532</v>
      </c>
      <c r="B38" s="444" t="s">
        <v>533</v>
      </c>
      <c r="C38" s="451" t="s">
        <v>534</v>
      </c>
      <c r="D38" s="446">
        <v>11.3026</v>
      </c>
      <c r="E38" s="444"/>
      <c r="F38" s="447"/>
      <c r="G38" s="448"/>
      <c r="H38" s="382"/>
      <c r="I38" s="388"/>
      <c r="J38" s="449"/>
      <c r="K38" s="378" t="s">
        <v>531</v>
      </c>
      <c r="L38" s="180"/>
      <c r="M38" s="180"/>
      <c r="N38" s="180"/>
      <c r="O38" s="180"/>
      <c r="P38" s="180"/>
      <c r="Q38" s="180"/>
      <c r="R38" s="180"/>
      <c r="S38" s="180"/>
      <c r="T38" s="180"/>
      <c r="U38" s="180"/>
      <c r="V38" s="180"/>
      <c r="W38" s="180"/>
      <c r="X38" s="180"/>
      <c r="Y38" s="180"/>
      <c r="Z38" s="180"/>
    </row>
    <row r="39" ht="15.75" customHeight="1">
      <c r="A39" s="377" t="s">
        <v>535</v>
      </c>
      <c r="B39" s="444" t="s">
        <v>536</v>
      </c>
      <c r="C39" s="451" t="s">
        <v>537</v>
      </c>
      <c r="D39" s="446">
        <v>0.4597</v>
      </c>
      <c r="E39" s="444"/>
      <c r="F39" s="447"/>
      <c r="G39" s="448"/>
      <c r="H39" s="382"/>
      <c r="I39" s="388"/>
      <c r="J39" s="449"/>
      <c r="K39" s="385" t="s">
        <v>538</v>
      </c>
      <c r="L39" s="180"/>
      <c r="M39" s="180"/>
      <c r="N39" s="180"/>
      <c r="O39" s="180"/>
      <c r="P39" s="180"/>
      <c r="Q39" s="180"/>
      <c r="R39" s="180"/>
      <c r="S39" s="180"/>
      <c r="T39" s="180"/>
      <c r="U39" s="180"/>
      <c r="V39" s="180"/>
      <c r="W39" s="180"/>
      <c r="X39" s="180"/>
      <c r="Y39" s="180"/>
      <c r="Z39" s="180"/>
    </row>
    <row r="40" ht="15.75" customHeight="1">
      <c r="A40" s="377" t="s">
        <v>483</v>
      </c>
      <c r="B40" s="444" t="s">
        <v>484</v>
      </c>
      <c r="C40" s="451" t="s">
        <v>485</v>
      </c>
      <c r="D40" s="446">
        <v>0.1466</v>
      </c>
      <c r="E40" s="444"/>
      <c r="F40" s="447"/>
      <c r="G40" s="448"/>
      <c r="H40" s="382"/>
      <c r="I40" s="388"/>
      <c r="J40" s="449"/>
      <c r="K40" s="385" t="s">
        <v>538</v>
      </c>
      <c r="L40" s="180"/>
      <c r="M40" s="180"/>
      <c r="N40" s="180"/>
      <c r="O40" s="180"/>
      <c r="P40" s="180"/>
      <c r="Q40" s="180"/>
      <c r="R40" s="180"/>
      <c r="S40" s="180"/>
      <c r="T40" s="180"/>
      <c r="U40" s="180"/>
      <c r="V40" s="180"/>
      <c r="W40" s="180"/>
      <c r="X40" s="180"/>
      <c r="Y40" s="180"/>
      <c r="Z40" s="180"/>
    </row>
    <row r="41" ht="15.75" customHeight="1">
      <c r="A41" s="443" t="s">
        <v>539</v>
      </c>
      <c r="B41" s="444" t="s">
        <v>540</v>
      </c>
      <c r="C41" s="451" t="s">
        <v>541</v>
      </c>
      <c r="D41" s="446">
        <v>2.1066</v>
      </c>
      <c r="E41" s="444"/>
      <c r="F41" s="447"/>
      <c r="G41" s="448"/>
      <c r="H41" s="382"/>
      <c r="I41" s="388"/>
      <c r="J41" s="449"/>
      <c r="K41" s="385" t="s">
        <v>538</v>
      </c>
      <c r="L41" s="180"/>
      <c r="M41" s="180"/>
      <c r="N41" s="180"/>
      <c r="O41" s="180"/>
      <c r="P41" s="180"/>
      <c r="Q41" s="180"/>
      <c r="R41" s="180"/>
      <c r="S41" s="180"/>
      <c r="T41" s="180"/>
      <c r="U41" s="180"/>
      <c r="V41" s="180"/>
      <c r="W41" s="180"/>
      <c r="X41" s="180"/>
      <c r="Y41" s="180"/>
      <c r="Z41" s="180"/>
    </row>
    <row r="42" ht="15.75" customHeight="1">
      <c r="A42" s="443" t="s">
        <v>542</v>
      </c>
      <c r="B42" s="444" t="s">
        <v>543</v>
      </c>
      <c r="C42" s="451" t="s">
        <v>544</v>
      </c>
      <c r="D42" s="446">
        <v>1.1703</v>
      </c>
      <c r="E42" s="444"/>
      <c r="F42" s="447"/>
      <c r="G42" s="448"/>
      <c r="H42" s="382"/>
      <c r="I42" s="388"/>
      <c r="J42" s="449"/>
      <c r="K42" s="385" t="s">
        <v>538</v>
      </c>
      <c r="L42" s="180"/>
      <c r="M42" s="180"/>
      <c r="N42" s="180"/>
      <c r="O42" s="180"/>
      <c r="P42" s="180"/>
      <c r="Q42" s="180"/>
      <c r="R42" s="180"/>
      <c r="S42" s="180"/>
      <c r="T42" s="180"/>
      <c r="U42" s="180"/>
      <c r="V42" s="180"/>
      <c r="W42" s="180"/>
      <c r="X42" s="180"/>
      <c r="Y42" s="180"/>
      <c r="Z42" s="180"/>
    </row>
    <row r="43" ht="15.75" customHeight="1">
      <c r="A43" s="443" t="s">
        <v>545</v>
      </c>
      <c r="B43" s="444" t="s">
        <v>546</v>
      </c>
      <c r="C43" s="451" t="s">
        <v>546</v>
      </c>
      <c r="D43" s="446">
        <v>1.6551</v>
      </c>
      <c r="E43" s="444"/>
      <c r="F43" s="447"/>
      <c r="G43" s="448"/>
      <c r="H43" s="382"/>
      <c r="I43" s="388"/>
      <c r="J43" s="449"/>
      <c r="K43" s="385" t="s">
        <v>547</v>
      </c>
      <c r="L43" s="180"/>
      <c r="M43" s="180"/>
      <c r="N43" s="180"/>
      <c r="O43" s="180"/>
      <c r="P43" s="180"/>
      <c r="Q43" s="180"/>
      <c r="R43" s="180"/>
      <c r="S43" s="180"/>
      <c r="T43" s="180"/>
      <c r="U43" s="180"/>
      <c r="V43" s="180"/>
      <c r="W43" s="180"/>
      <c r="X43" s="180"/>
      <c r="Y43" s="180"/>
      <c r="Z43" s="180"/>
    </row>
    <row r="44" ht="15.75" customHeight="1">
      <c r="A44" s="443" t="s">
        <v>514</v>
      </c>
      <c r="B44" s="444" t="s">
        <v>515</v>
      </c>
      <c r="C44" s="451" t="s">
        <v>516</v>
      </c>
      <c r="D44" s="446">
        <v>0.8505</v>
      </c>
      <c r="E44" s="444"/>
      <c r="F44" s="447"/>
      <c r="G44" s="448"/>
      <c r="H44" s="382"/>
      <c r="I44" s="388"/>
      <c r="J44" s="449"/>
      <c r="K44" s="385" t="s">
        <v>538</v>
      </c>
      <c r="L44" s="180"/>
      <c r="M44" s="180"/>
      <c r="N44" s="180"/>
      <c r="O44" s="180"/>
      <c r="P44" s="180"/>
      <c r="Q44" s="180"/>
      <c r="R44" s="180"/>
      <c r="S44" s="180"/>
      <c r="T44" s="180"/>
      <c r="U44" s="180"/>
      <c r="V44" s="180"/>
      <c r="W44" s="180"/>
      <c r="X44" s="180"/>
      <c r="Y44" s="180"/>
      <c r="Z44" s="180"/>
    </row>
    <row r="45" ht="15.75" customHeight="1">
      <c r="A45" s="452" t="s">
        <v>508</v>
      </c>
      <c r="B45" s="453" t="s">
        <v>509</v>
      </c>
      <c r="C45" s="454" t="s">
        <v>510</v>
      </c>
      <c r="D45" s="446">
        <v>0.1137</v>
      </c>
      <c r="E45" s="455"/>
      <c r="F45" s="456"/>
      <c r="G45" s="448"/>
      <c r="H45" s="382"/>
      <c r="I45" s="388"/>
      <c r="J45" s="449"/>
      <c r="K45" s="378" t="s">
        <v>548</v>
      </c>
      <c r="L45" s="180"/>
      <c r="M45" s="180"/>
      <c r="N45" s="180"/>
      <c r="O45" s="180"/>
      <c r="P45" s="180"/>
      <c r="Q45" s="180"/>
      <c r="R45" s="180"/>
      <c r="S45" s="180"/>
      <c r="T45" s="180"/>
      <c r="U45" s="180"/>
      <c r="V45" s="180"/>
      <c r="W45" s="180"/>
      <c r="X45" s="180"/>
      <c r="Y45" s="180"/>
      <c r="Z45" s="180"/>
    </row>
    <row r="46" ht="15.75" customHeight="1">
      <c r="A46" s="377" t="s">
        <v>460</v>
      </c>
      <c r="B46" s="444" t="s">
        <v>461</v>
      </c>
      <c r="C46" s="451" t="s">
        <v>462</v>
      </c>
      <c r="D46" s="446">
        <v>4.0058</v>
      </c>
      <c r="E46" s="457"/>
      <c r="F46" s="447"/>
      <c r="G46" s="448"/>
      <c r="H46" s="388"/>
      <c r="I46" s="388"/>
      <c r="J46" s="449"/>
      <c r="K46" s="425" t="s">
        <v>549</v>
      </c>
      <c r="L46" s="180"/>
      <c r="M46" s="180"/>
      <c r="N46" s="180"/>
      <c r="O46" s="180"/>
      <c r="P46" s="180"/>
      <c r="Q46" s="180"/>
      <c r="R46" s="180"/>
      <c r="S46" s="180"/>
      <c r="T46" s="180"/>
      <c r="U46" s="180"/>
      <c r="V46" s="180"/>
      <c r="W46" s="180"/>
      <c r="X46" s="180"/>
      <c r="Y46" s="180"/>
      <c r="Z46" s="180"/>
    </row>
    <row r="47" ht="15.75" customHeight="1">
      <c r="A47" s="443" t="s">
        <v>550</v>
      </c>
      <c r="B47" s="444" t="s">
        <v>551</v>
      </c>
      <c r="C47" s="451" t="s">
        <v>552</v>
      </c>
      <c r="D47" s="446">
        <v>0.8412</v>
      </c>
      <c r="E47" s="457"/>
      <c r="F47" s="447"/>
      <c r="G47" s="448"/>
      <c r="H47" s="388"/>
      <c r="I47" s="388"/>
      <c r="J47" s="449"/>
      <c r="K47" s="425" t="s">
        <v>549</v>
      </c>
      <c r="L47" s="180"/>
      <c r="M47" s="180"/>
      <c r="N47" s="180"/>
      <c r="O47" s="180"/>
      <c r="P47" s="180"/>
      <c r="Q47" s="180"/>
      <c r="R47" s="180"/>
      <c r="S47" s="180"/>
      <c r="T47" s="180"/>
      <c r="U47" s="180"/>
      <c r="V47" s="180"/>
      <c r="W47" s="180"/>
      <c r="X47" s="180"/>
      <c r="Y47" s="180"/>
      <c r="Z47" s="180"/>
    </row>
    <row r="48" ht="15.75" customHeight="1">
      <c r="A48" s="450" t="s">
        <v>466</v>
      </c>
      <c r="B48" s="444" t="s">
        <v>467</v>
      </c>
      <c r="C48" s="451" t="s">
        <v>468</v>
      </c>
      <c r="D48" s="446">
        <v>0.4461</v>
      </c>
      <c r="E48" s="458"/>
      <c r="F48" s="447"/>
      <c r="G48" s="448"/>
      <c r="H48" s="388"/>
      <c r="I48" s="388"/>
      <c r="J48" s="449"/>
      <c r="K48" s="378"/>
      <c r="L48" s="180"/>
      <c r="M48" s="180"/>
      <c r="N48" s="180"/>
      <c r="O48" s="180"/>
      <c r="P48" s="180"/>
      <c r="Q48" s="180"/>
      <c r="R48" s="180"/>
      <c r="S48" s="180"/>
      <c r="T48" s="180"/>
      <c r="U48" s="180"/>
      <c r="V48" s="180"/>
      <c r="W48" s="180"/>
      <c r="X48" s="180"/>
      <c r="Y48" s="180"/>
      <c r="Z48" s="180"/>
    </row>
    <row r="49" ht="15.75" customHeight="1">
      <c r="A49" s="394" t="s">
        <v>452</v>
      </c>
      <c r="B49" s="459" t="s">
        <v>453</v>
      </c>
      <c r="C49" s="460" t="s">
        <v>454</v>
      </c>
      <c r="D49" s="185" t="str">
        <f t="shared" ref="D49:D53" si="12">(I49-G49)/G49</f>
        <v>Loading...</v>
      </c>
      <c r="E49" s="333">
        <v>1.09158171</v>
      </c>
      <c r="F49" s="461">
        <v>1190.45</v>
      </c>
      <c r="G49" s="462">
        <f t="shared" ref="G49:G53" si="13">E49*F49</f>
        <v>1299.473447</v>
      </c>
      <c r="H49" s="399" t="str">
        <f t="shared" ref="H49:H53" si="14">GECKOPRICE2(B49,"USD")</f>
        <v>Loading...</v>
      </c>
      <c r="I49" s="463" t="str">
        <f t="shared" ref="I49:I53" si="15">E49*H49</f>
        <v>Loading...</v>
      </c>
      <c r="J49" s="464" t="str">
        <f t="shared" ref="J49:J53" si="16">I49-(E49*F49)</f>
        <v>Loading...</v>
      </c>
      <c r="K49" s="7" t="s">
        <v>451</v>
      </c>
      <c r="L49" s="465"/>
      <c r="M49" s="180"/>
      <c r="N49" s="180"/>
      <c r="O49" s="180"/>
      <c r="P49" s="180"/>
      <c r="Q49" s="180"/>
      <c r="R49" s="180"/>
      <c r="S49" s="180"/>
      <c r="T49" s="180"/>
      <c r="U49" s="180"/>
      <c r="V49" s="180"/>
      <c r="W49" s="180"/>
      <c r="X49" s="180"/>
      <c r="Y49" s="180"/>
      <c r="Z49" s="180"/>
    </row>
    <row r="50" ht="15.75" customHeight="1">
      <c r="A50" s="466" t="s">
        <v>444</v>
      </c>
      <c r="B50" s="459" t="s">
        <v>445</v>
      </c>
      <c r="C50" s="467" t="s">
        <v>446</v>
      </c>
      <c r="D50" s="185" t="str">
        <f t="shared" si="12"/>
        <v>Loading...</v>
      </c>
      <c r="E50" s="333">
        <v>135.45</v>
      </c>
      <c r="F50" s="461">
        <v>9.91</v>
      </c>
      <c r="G50" s="462">
        <f t="shared" si="13"/>
        <v>1342.3095</v>
      </c>
      <c r="H50" s="399" t="str">
        <f t="shared" si="14"/>
        <v>Loading...</v>
      </c>
      <c r="I50" s="463" t="str">
        <f t="shared" si="15"/>
        <v>Loading...</v>
      </c>
      <c r="J50" s="464" t="str">
        <f t="shared" si="16"/>
        <v>Loading...</v>
      </c>
      <c r="K50" s="468" t="s">
        <v>447</v>
      </c>
      <c r="L50" s="180"/>
      <c r="M50" s="180"/>
      <c r="N50" s="180"/>
      <c r="O50" s="180"/>
      <c r="P50" s="180"/>
      <c r="Q50" s="180"/>
      <c r="R50" s="180"/>
      <c r="S50" s="180"/>
      <c r="T50" s="180"/>
      <c r="U50" s="180"/>
      <c r="V50" s="180"/>
      <c r="W50" s="180"/>
      <c r="X50" s="180"/>
      <c r="Y50" s="180"/>
      <c r="Z50" s="180"/>
    </row>
    <row r="51" ht="15.75" customHeight="1">
      <c r="A51" s="466" t="s">
        <v>463</v>
      </c>
      <c r="B51" s="459" t="s">
        <v>464</v>
      </c>
      <c r="C51" s="467" t="s">
        <v>465</v>
      </c>
      <c r="D51" s="185" t="str">
        <f t="shared" si="12"/>
        <v>Loading...</v>
      </c>
      <c r="E51" s="469">
        <v>9.357</v>
      </c>
      <c r="F51" s="461">
        <v>72.13</v>
      </c>
      <c r="G51" s="462">
        <f t="shared" si="13"/>
        <v>674.92041</v>
      </c>
      <c r="H51" s="399" t="str">
        <f t="shared" si="14"/>
        <v>Loading...</v>
      </c>
      <c r="I51" s="463" t="str">
        <f t="shared" si="15"/>
        <v>Loading...</v>
      </c>
      <c r="J51" s="464" t="str">
        <f t="shared" si="16"/>
        <v>Loading...</v>
      </c>
      <c r="K51" s="3" t="s">
        <v>447</v>
      </c>
      <c r="L51" s="180"/>
      <c r="M51" s="180"/>
      <c r="N51" s="180"/>
      <c r="O51" s="180"/>
      <c r="P51" s="180"/>
      <c r="Q51" s="180"/>
      <c r="R51" s="180"/>
      <c r="S51" s="180"/>
      <c r="T51" s="180"/>
      <c r="U51" s="180"/>
      <c r="V51" s="180"/>
      <c r="W51" s="180"/>
      <c r="X51" s="180"/>
      <c r="Y51" s="180"/>
      <c r="Z51" s="180"/>
    </row>
    <row r="52" ht="15.75" customHeight="1">
      <c r="A52" s="394" t="s">
        <v>457</v>
      </c>
      <c r="B52" s="459" t="s">
        <v>458</v>
      </c>
      <c r="C52" s="460" t="s">
        <v>459</v>
      </c>
      <c r="D52" s="185" t="str">
        <f t="shared" si="12"/>
        <v>Loading...</v>
      </c>
      <c r="E52" s="470">
        <v>4070.2</v>
      </c>
      <c r="F52" s="461">
        <v>0.316542</v>
      </c>
      <c r="G52" s="462">
        <f t="shared" si="13"/>
        <v>1288.389248</v>
      </c>
      <c r="H52" s="399" t="str">
        <f t="shared" si="14"/>
        <v>Loading...</v>
      </c>
      <c r="I52" s="463" t="str">
        <f t="shared" si="15"/>
        <v>Loading...</v>
      </c>
      <c r="J52" s="464" t="str">
        <f t="shared" si="16"/>
        <v>Loading...</v>
      </c>
      <c r="K52" s="7" t="s">
        <v>451</v>
      </c>
      <c r="L52" s="180"/>
      <c r="M52" s="180"/>
      <c r="N52" s="180"/>
      <c r="O52" s="180"/>
      <c r="P52" s="180"/>
      <c r="Q52" s="180"/>
      <c r="R52" s="180"/>
      <c r="S52" s="180"/>
      <c r="T52" s="180"/>
      <c r="U52" s="180"/>
      <c r="V52" s="180"/>
      <c r="W52" s="180"/>
      <c r="X52" s="180"/>
      <c r="Y52" s="180"/>
      <c r="Z52" s="180"/>
    </row>
    <row r="53" ht="15.75" customHeight="1">
      <c r="A53" s="394" t="s">
        <v>460</v>
      </c>
      <c r="B53" s="459" t="s">
        <v>461</v>
      </c>
      <c r="C53" s="460" t="s">
        <v>462</v>
      </c>
      <c r="D53" s="185" t="str">
        <f t="shared" si="12"/>
        <v>Loading...</v>
      </c>
      <c r="E53" s="471">
        <v>12846.0</v>
      </c>
      <c r="F53" s="461">
        <v>0.02925236</v>
      </c>
      <c r="G53" s="462">
        <f t="shared" si="13"/>
        <v>375.7758166</v>
      </c>
      <c r="H53" s="399" t="str">
        <f t="shared" si="14"/>
        <v>Loading...</v>
      </c>
      <c r="I53" s="463" t="str">
        <f t="shared" si="15"/>
        <v>Loading...</v>
      </c>
      <c r="J53" s="464" t="str">
        <f t="shared" si="16"/>
        <v>Loading...</v>
      </c>
      <c r="K53" s="180"/>
      <c r="L53" s="180"/>
      <c r="M53" s="180"/>
      <c r="N53" s="180"/>
      <c r="O53" s="180"/>
      <c r="P53" s="180"/>
      <c r="Q53" s="180"/>
      <c r="R53" s="180"/>
      <c r="S53" s="180"/>
      <c r="T53" s="180"/>
      <c r="U53" s="180"/>
      <c r="V53" s="180"/>
      <c r="W53" s="180"/>
      <c r="X53" s="180"/>
      <c r="Y53" s="180"/>
      <c r="Z53" s="180"/>
    </row>
    <row r="54" ht="15.75" customHeight="1">
      <c r="C54" s="404"/>
      <c r="D54" s="409" t="str">
        <f>AVERAGE(D35:D53)</f>
        <v>Loading...</v>
      </c>
      <c r="F54" s="472"/>
      <c r="G54" s="413">
        <f>sum(G45:G53)</f>
        <v>4980.868422</v>
      </c>
      <c r="H54" s="411"/>
      <c r="I54" s="412" t="str">
        <f>sum(I45:I53)</f>
        <v>Loading...</v>
      </c>
      <c r="J54" s="413" t="str">
        <f>I54-G54</f>
        <v>Loading...</v>
      </c>
      <c r="K54" s="25" t="s">
        <v>553</v>
      </c>
    </row>
    <row r="55" ht="15.75" customHeight="1">
      <c r="F55" s="472"/>
      <c r="G55" s="38"/>
      <c r="H55" s="376"/>
      <c r="I55" s="442"/>
    </row>
    <row r="56" ht="15.75" customHeight="1">
      <c r="A56" s="443" t="s">
        <v>554</v>
      </c>
      <c r="B56" s="378" t="s">
        <v>555</v>
      </c>
      <c r="C56" s="378" t="s">
        <v>556</v>
      </c>
      <c r="D56" s="379">
        <v>1.3555</v>
      </c>
      <c r="E56" s="444"/>
      <c r="F56" s="456"/>
      <c r="G56" s="382"/>
      <c r="H56" s="382"/>
      <c r="I56" s="388"/>
      <c r="J56" s="449"/>
      <c r="K56" s="385" t="s">
        <v>557</v>
      </c>
      <c r="L56" s="180"/>
      <c r="M56" s="180"/>
      <c r="N56" s="180"/>
      <c r="O56" s="180"/>
      <c r="P56" s="180"/>
      <c r="Q56" s="180"/>
      <c r="R56" s="180"/>
      <c r="S56" s="180"/>
      <c r="T56" s="180"/>
      <c r="U56" s="180"/>
      <c r="V56" s="180"/>
      <c r="W56" s="180"/>
      <c r="X56" s="180"/>
      <c r="Y56" s="180"/>
      <c r="Z56" s="180"/>
    </row>
    <row r="57" ht="15.75" customHeight="1">
      <c r="A57" s="443" t="s">
        <v>558</v>
      </c>
      <c r="B57" s="425" t="s">
        <v>559</v>
      </c>
      <c r="C57" s="378" t="s">
        <v>560</v>
      </c>
      <c r="D57" s="379">
        <v>0.8915</v>
      </c>
      <c r="E57" s="453"/>
      <c r="F57" s="456"/>
      <c r="G57" s="382"/>
      <c r="H57" s="382"/>
      <c r="I57" s="388"/>
      <c r="J57" s="449"/>
      <c r="K57" s="385" t="s">
        <v>538</v>
      </c>
      <c r="L57" s="180"/>
      <c r="M57" s="180"/>
      <c r="N57" s="180"/>
      <c r="O57" s="180"/>
      <c r="P57" s="180"/>
      <c r="Q57" s="180"/>
      <c r="R57" s="180"/>
      <c r="S57" s="180"/>
      <c r="T57" s="180"/>
      <c r="U57" s="180"/>
      <c r="V57" s="180"/>
      <c r="W57" s="180"/>
      <c r="X57" s="180"/>
      <c r="Y57" s="180"/>
      <c r="Z57" s="180"/>
    </row>
    <row r="58" ht="15.75" customHeight="1">
      <c r="A58" s="473" t="s">
        <v>457</v>
      </c>
      <c r="B58" s="474" t="s">
        <v>458</v>
      </c>
      <c r="C58" s="474" t="s">
        <v>459</v>
      </c>
      <c r="D58" s="379">
        <v>1.5904</v>
      </c>
      <c r="E58" s="378"/>
      <c r="F58" s="456"/>
      <c r="G58" s="382"/>
      <c r="H58" s="382"/>
      <c r="I58" s="388"/>
      <c r="J58" s="449"/>
      <c r="K58" s="378" t="s">
        <v>561</v>
      </c>
    </row>
    <row r="59" ht="15.75" customHeight="1">
      <c r="A59" s="450" t="s">
        <v>562</v>
      </c>
      <c r="B59" s="425" t="s">
        <v>563</v>
      </c>
      <c r="C59" s="384" t="s">
        <v>564</v>
      </c>
      <c r="D59" s="379">
        <v>0.586</v>
      </c>
      <c r="E59" s="425"/>
      <c r="F59" s="456"/>
      <c r="G59" s="475"/>
      <c r="H59" s="382"/>
      <c r="I59" s="388"/>
      <c r="J59" s="449"/>
      <c r="K59" s="378" t="s">
        <v>561</v>
      </c>
    </row>
    <row r="60" ht="15.75" customHeight="1">
      <c r="A60" s="476" t="s">
        <v>452</v>
      </c>
      <c r="B60" s="477" t="s">
        <v>453</v>
      </c>
      <c r="C60" s="477" t="s">
        <v>454</v>
      </c>
      <c r="D60" s="185" t="str">
        <f t="shared" ref="D60:D63" si="17">(I60-G60)/G60</f>
        <v>Loading...</v>
      </c>
      <c r="E60" s="180">
        <v>5.6435</v>
      </c>
      <c r="F60" s="478">
        <v>1790.01</v>
      </c>
      <c r="G60" s="416">
        <f t="shared" ref="G60:G62" si="18">E60*F60</f>
        <v>10101.92144</v>
      </c>
      <c r="H60" s="399" t="str">
        <f t="shared" ref="H60:H63" si="19">GECKOPRICE2(B60,"USD")</f>
        <v>Loading...</v>
      </c>
      <c r="I60" s="463" t="str">
        <f t="shared" ref="I60:I63" si="20">E60*H60</f>
        <v>Loading...</v>
      </c>
      <c r="J60" s="464" t="str">
        <f t="shared" ref="J60:J63" si="21">I60-(E60*F60)</f>
        <v>Loading...</v>
      </c>
    </row>
    <row r="61" ht="15.75" customHeight="1">
      <c r="A61" s="466" t="s">
        <v>444</v>
      </c>
      <c r="B61" s="479" t="s">
        <v>445</v>
      </c>
      <c r="C61" s="332" t="s">
        <v>446</v>
      </c>
      <c r="D61" s="185" t="str">
        <f t="shared" si="17"/>
        <v>Loading...</v>
      </c>
      <c r="E61" s="180">
        <v>114.09</v>
      </c>
      <c r="F61" s="478">
        <v>27.23</v>
      </c>
      <c r="G61" s="416">
        <f t="shared" si="18"/>
        <v>3106.6707</v>
      </c>
      <c r="H61" s="399" t="str">
        <f t="shared" si="19"/>
        <v>Loading...</v>
      </c>
      <c r="I61" s="463" t="str">
        <f t="shared" si="20"/>
        <v>Loading...</v>
      </c>
      <c r="J61" s="464" t="str">
        <f t="shared" si="21"/>
        <v>Loading...</v>
      </c>
      <c r="K61" s="180"/>
    </row>
    <row r="62" ht="15.75" customHeight="1">
      <c r="A62" s="466" t="s">
        <v>539</v>
      </c>
      <c r="B62" s="479" t="s">
        <v>540</v>
      </c>
      <c r="C62" s="460" t="s">
        <v>541</v>
      </c>
      <c r="D62" s="185" t="str">
        <f t="shared" si="17"/>
        <v>Loading...</v>
      </c>
      <c r="E62" s="180">
        <v>838.177</v>
      </c>
      <c r="F62" s="478">
        <v>3.47</v>
      </c>
      <c r="G62" s="416">
        <f t="shared" si="18"/>
        <v>2908.47419</v>
      </c>
      <c r="H62" s="399" t="str">
        <f t="shared" si="19"/>
        <v>Loading...</v>
      </c>
      <c r="I62" s="463" t="str">
        <f t="shared" si="20"/>
        <v>Loading...</v>
      </c>
      <c r="J62" s="464" t="str">
        <f t="shared" si="21"/>
        <v>Loading...</v>
      </c>
      <c r="K62" s="180"/>
    </row>
    <row r="63" ht="15.75" customHeight="1">
      <c r="A63" s="480" t="s">
        <v>448</v>
      </c>
      <c r="B63" s="4" t="s">
        <v>449</v>
      </c>
      <c r="C63" s="404" t="s">
        <v>450</v>
      </c>
      <c r="D63" s="185" t="str">
        <f t="shared" si="17"/>
        <v>Loading...</v>
      </c>
      <c r="E63" s="4">
        <v>0.04986909</v>
      </c>
      <c r="F63" s="478">
        <v>55721.89</v>
      </c>
      <c r="G63" s="481">
        <v>2778.8</v>
      </c>
      <c r="H63" s="399" t="str">
        <f t="shared" si="19"/>
        <v>Loading...</v>
      </c>
      <c r="I63" s="463" t="str">
        <f t="shared" si="20"/>
        <v>Loading...</v>
      </c>
      <c r="J63" s="464" t="str">
        <f t="shared" si="21"/>
        <v>Loading...</v>
      </c>
    </row>
    <row r="64" ht="15.75" customHeight="1">
      <c r="D64" s="409" t="str">
        <f>AVERAGE(D56:D63)</f>
        <v>Loading...</v>
      </c>
      <c r="F64" s="38"/>
      <c r="G64" s="413">
        <f>sum(G56:G63)</f>
        <v>18895.86633</v>
      </c>
      <c r="H64" s="411"/>
      <c r="I64" s="412" t="str">
        <f>sum(I56:I63)</f>
        <v>Loading...</v>
      </c>
      <c r="J64" s="413" t="str">
        <f>I64-G64</f>
        <v>Loading...</v>
      </c>
      <c r="K64" s="25" t="s">
        <v>565</v>
      </c>
    </row>
    <row r="65" ht="15.75" customHeight="1">
      <c r="G65" s="38"/>
      <c r="H65" s="38"/>
      <c r="I65" s="376"/>
      <c r="J65" s="442"/>
    </row>
    <row r="66" ht="15.75" customHeight="1">
      <c r="A66" s="482" t="s">
        <v>566</v>
      </c>
      <c r="B66" s="483"/>
      <c r="C66" s="483"/>
      <c r="D66" s="483"/>
      <c r="E66" s="483"/>
      <c r="F66" s="484"/>
      <c r="G66" s="485"/>
      <c r="H66" s="485"/>
      <c r="I66" s="486"/>
      <c r="J66" s="487"/>
      <c r="K66" s="487"/>
    </row>
    <row r="67" ht="15.75" customHeight="1">
      <c r="A67" s="450" t="s">
        <v>558</v>
      </c>
      <c r="B67" s="378" t="s">
        <v>559</v>
      </c>
      <c r="C67" s="378" t="s">
        <v>567</v>
      </c>
      <c r="D67" s="379">
        <v>0.2494</v>
      </c>
      <c r="E67" s="488"/>
      <c r="F67" s="456"/>
      <c r="G67" s="489"/>
      <c r="H67" s="382"/>
      <c r="I67" s="490"/>
      <c r="J67" s="491"/>
      <c r="K67" s="425" t="s">
        <v>568</v>
      </c>
    </row>
    <row r="68" ht="15.75" customHeight="1">
      <c r="A68" s="473" t="s">
        <v>562</v>
      </c>
      <c r="B68" s="474" t="s">
        <v>563</v>
      </c>
      <c r="C68" s="492" t="s">
        <v>564</v>
      </c>
      <c r="D68" s="379">
        <v>1.501</v>
      </c>
      <c r="E68" s="425"/>
      <c r="F68" s="456"/>
      <c r="G68" s="489"/>
      <c r="H68" s="382"/>
      <c r="I68" s="490"/>
      <c r="J68" s="491"/>
      <c r="K68" s="425" t="s">
        <v>569</v>
      </c>
    </row>
    <row r="69" ht="15.75" customHeight="1">
      <c r="A69" s="473" t="s">
        <v>570</v>
      </c>
      <c r="B69" s="474" t="s">
        <v>571</v>
      </c>
      <c r="C69" s="492" t="s">
        <v>572</v>
      </c>
      <c r="D69" s="379">
        <v>0.2742</v>
      </c>
      <c r="E69" s="425"/>
      <c r="F69" s="456"/>
      <c r="G69" s="489"/>
      <c r="H69" s="382"/>
      <c r="I69" s="490"/>
      <c r="J69" s="491"/>
      <c r="K69" s="425" t="s">
        <v>573</v>
      </c>
    </row>
    <row r="70" ht="15.75" customHeight="1">
      <c r="A70" s="450" t="s">
        <v>466</v>
      </c>
      <c r="B70" s="493" t="s">
        <v>467</v>
      </c>
      <c r="C70" s="451" t="s">
        <v>468</v>
      </c>
      <c r="D70" s="379">
        <v>0.0778</v>
      </c>
      <c r="E70" s="425"/>
      <c r="F70" s="456"/>
      <c r="G70" s="489"/>
      <c r="H70" s="382"/>
      <c r="I70" s="490"/>
      <c r="J70" s="491"/>
      <c r="K70" s="425" t="s">
        <v>574</v>
      </c>
    </row>
    <row r="71" ht="15.75" customHeight="1">
      <c r="A71" s="450" t="s">
        <v>466</v>
      </c>
      <c r="B71" s="425" t="s">
        <v>467</v>
      </c>
      <c r="C71" s="494" t="s">
        <v>468</v>
      </c>
      <c r="D71" s="379">
        <v>0.0639</v>
      </c>
      <c r="E71" s="425"/>
      <c r="F71" s="456"/>
      <c r="G71" s="489"/>
      <c r="H71" s="382"/>
      <c r="I71" s="490"/>
      <c r="J71" s="491"/>
      <c r="K71" s="425" t="s">
        <v>574</v>
      </c>
    </row>
    <row r="72" ht="15.75" customHeight="1">
      <c r="A72" s="443" t="s">
        <v>539</v>
      </c>
      <c r="B72" s="385" t="s">
        <v>540</v>
      </c>
      <c r="C72" s="451" t="s">
        <v>541</v>
      </c>
      <c r="D72" s="495">
        <v>-0.0437</v>
      </c>
      <c r="E72" s="488"/>
      <c r="F72" s="496"/>
      <c r="G72" s="496"/>
      <c r="H72" s="424"/>
      <c r="I72" s="490"/>
      <c r="J72" s="491"/>
      <c r="K72" s="425" t="s">
        <v>575</v>
      </c>
    </row>
    <row r="73" ht="15.75" customHeight="1">
      <c r="A73" s="473" t="s">
        <v>460</v>
      </c>
      <c r="B73" s="474" t="s">
        <v>461</v>
      </c>
      <c r="C73" s="492" t="s">
        <v>462</v>
      </c>
      <c r="D73" s="379">
        <v>0.0132</v>
      </c>
      <c r="E73" s="497"/>
      <c r="F73" s="496"/>
      <c r="G73" s="496"/>
      <c r="H73" s="424"/>
      <c r="I73" s="490"/>
      <c r="J73" s="491"/>
      <c r="K73" s="425" t="s">
        <v>576</v>
      </c>
    </row>
    <row r="74" ht="15.75" customHeight="1">
      <c r="A74" s="443" t="s">
        <v>550</v>
      </c>
      <c r="B74" s="385" t="s">
        <v>551</v>
      </c>
      <c r="C74" s="451" t="s">
        <v>552</v>
      </c>
      <c r="D74" s="379">
        <v>0.2267</v>
      </c>
      <c r="E74" s="497"/>
      <c r="F74" s="496"/>
      <c r="G74" s="496"/>
      <c r="H74" s="424"/>
      <c r="I74" s="490"/>
      <c r="J74" s="491"/>
      <c r="K74" s="425" t="s">
        <v>549</v>
      </c>
    </row>
    <row r="75" ht="15.75" customHeight="1">
      <c r="A75" s="498" t="s">
        <v>570</v>
      </c>
      <c r="B75" s="499" t="s">
        <v>571</v>
      </c>
      <c r="C75" s="500" t="s">
        <v>572</v>
      </c>
      <c r="D75" s="501"/>
      <c r="E75" s="502"/>
      <c r="F75" s="503"/>
      <c r="G75" s="504"/>
      <c r="H75" s="505"/>
      <c r="I75" s="506"/>
      <c r="J75" s="506"/>
      <c r="K75" s="49" t="s">
        <v>577</v>
      </c>
    </row>
    <row r="76" ht="15.75" customHeight="1">
      <c r="A76" s="507"/>
      <c r="B76" s="180"/>
      <c r="C76" s="467"/>
      <c r="D76" s="185"/>
      <c r="E76" s="265"/>
      <c r="F76" s="478"/>
      <c r="G76" s="478"/>
      <c r="H76" s="508"/>
      <c r="I76" s="509"/>
      <c r="J76" s="510"/>
      <c r="K76" s="7"/>
    </row>
    <row r="77" ht="15.75" customHeight="1">
      <c r="A77" s="511" t="s">
        <v>578</v>
      </c>
      <c r="B77" s="180"/>
      <c r="C77" s="467"/>
      <c r="D77" s="185"/>
      <c r="E77" s="265"/>
      <c r="F77" s="478"/>
      <c r="G77" s="478"/>
      <c r="H77" s="508"/>
      <c r="I77" s="509"/>
      <c r="J77" s="510"/>
      <c r="K77" s="7"/>
    </row>
    <row r="78" ht="15.75" customHeight="1">
      <c r="A78" s="512" t="s">
        <v>579</v>
      </c>
      <c r="B78" s="513" t="s">
        <v>580</v>
      </c>
      <c r="C78" s="514" t="s">
        <v>581</v>
      </c>
      <c r="D78" s="379">
        <v>4.5808</v>
      </c>
      <c r="E78" s="515"/>
      <c r="F78" s="516"/>
      <c r="G78" s="424"/>
      <c r="H78" s="388"/>
      <c r="I78" s="378"/>
      <c r="J78" s="517">
        <v>4500.0</v>
      </c>
      <c r="K78" s="418" t="s">
        <v>582</v>
      </c>
      <c r="L78" s="1"/>
      <c r="M78" s="1"/>
      <c r="N78" s="1"/>
      <c r="O78" s="1"/>
      <c r="P78" s="1"/>
      <c r="Q78" s="1"/>
      <c r="R78" s="1"/>
      <c r="S78" s="1"/>
      <c r="T78" s="1"/>
      <c r="U78" s="1"/>
      <c r="V78" s="1"/>
      <c r="W78" s="1"/>
      <c r="X78" s="1"/>
      <c r="Y78" s="1"/>
      <c r="Z78" s="1"/>
      <c r="AA78" s="1"/>
      <c r="AB78" s="1"/>
      <c r="AC78" s="1"/>
      <c r="AD78" s="1"/>
      <c r="AE78" s="1"/>
    </row>
    <row r="79" ht="15.75" customHeight="1">
      <c r="A79" s="377" t="s">
        <v>475</v>
      </c>
      <c r="B79" s="417" t="s">
        <v>476</v>
      </c>
      <c r="C79" s="422" t="s">
        <v>501</v>
      </c>
      <c r="D79" s="518">
        <v>0.3807</v>
      </c>
      <c r="E79" s="515"/>
      <c r="F79" s="516"/>
      <c r="G79" s="424"/>
      <c r="H79" s="388"/>
      <c r="I79" s="378"/>
      <c r="J79" s="517">
        <v>8000.0</v>
      </c>
      <c r="K79" s="418" t="s">
        <v>583</v>
      </c>
    </row>
    <row r="80" ht="15.75" customHeight="1">
      <c r="A80" s="443" t="s">
        <v>539</v>
      </c>
      <c r="B80" s="385" t="s">
        <v>540</v>
      </c>
      <c r="C80" s="451" t="s">
        <v>541</v>
      </c>
      <c r="D80" s="519">
        <v>-0.8578</v>
      </c>
      <c r="E80" s="488"/>
      <c r="F80" s="496"/>
      <c r="G80" s="496"/>
      <c r="H80" s="424"/>
      <c r="I80" s="520"/>
      <c r="J80" s="521"/>
      <c r="K80" s="522" t="s">
        <v>584</v>
      </c>
    </row>
    <row r="81" ht="15.75" customHeight="1">
      <c r="A81" s="377" t="s">
        <v>475</v>
      </c>
      <c r="B81" s="417" t="s">
        <v>476</v>
      </c>
      <c r="C81" s="422" t="s">
        <v>501</v>
      </c>
      <c r="D81" s="523">
        <v>-0.5899</v>
      </c>
      <c r="E81" s="524"/>
      <c r="F81" s="525"/>
      <c r="G81" s="526"/>
      <c r="H81" s="388"/>
      <c r="I81" s="383"/>
      <c r="J81" s="517"/>
      <c r="K81" s="522" t="s">
        <v>584</v>
      </c>
    </row>
    <row r="82" ht="15.75" customHeight="1">
      <c r="A82" s="527" t="s">
        <v>585</v>
      </c>
      <c r="B82" s="528" t="s">
        <v>586</v>
      </c>
      <c r="C82" s="529" t="s">
        <v>587</v>
      </c>
      <c r="D82" s="185" t="str">
        <f t="shared" ref="D82:D88" si="22">(I82-G82)/G82</f>
        <v>Loading...</v>
      </c>
      <c r="E82" s="530">
        <v>19.54</v>
      </c>
      <c r="F82" s="531">
        <v>130.0</v>
      </c>
      <c r="G82" s="478">
        <f t="shared" ref="G82:G88" si="23">E82*F82</f>
        <v>2540.2</v>
      </c>
      <c r="H82" s="508" t="str">
        <f t="shared" ref="H82:H88" si="24">GECKOPRICE2(B82,"USD")</f>
        <v>Loading...</v>
      </c>
      <c r="I82" s="509" t="str">
        <f t="shared" ref="I82:I88" si="25">E82*H82</f>
        <v>Loading...</v>
      </c>
      <c r="J82" s="510" t="str">
        <f t="shared" ref="J82:J88" si="26">I82-(E82*F82)</f>
        <v>Loading...</v>
      </c>
      <c r="K82" s="3" t="s">
        <v>588</v>
      </c>
    </row>
    <row r="83" ht="15.75" customHeight="1">
      <c r="A83" s="476" t="s">
        <v>460</v>
      </c>
      <c r="B83" s="477" t="s">
        <v>461</v>
      </c>
      <c r="C83" s="532" t="s">
        <v>462</v>
      </c>
      <c r="D83" s="185" t="str">
        <f t="shared" si="22"/>
        <v>Loading...</v>
      </c>
      <c r="E83" s="265">
        <v>149575.0</v>
      </c>
      <c r="F83" s="478">
        <v>0.123</v>
      </c>
      <c r="G83" s="478">
        <f t="shared" si="23"/>
        <v>18397.725</v>
      </c>
      <c r="H83" s="508" t="str">
        <f t="shared" si="24"/>
        <v>Loading...</v>
      </c>
      <c r="I83" s="509" t="str">
        <f t="shared" si="25"/>
        <v>Loading...</v>
      </c>
      <c r="J83" s="510" t="str">
        <f t="shared" si="26"/>
        <v>Loading...</v>
      </c>
      <c r="K83" s="7" t="s">
        <v>451</v>
      </c>
    </row>
    <row r="84" ht="15.75" customHeight="1">
      <c r="A84" s="394" t="s">
        <v>455</v>
      </c>
      <c r="B84" s="477" t="s">
        <v>456</v>
      </c>
      <c r="C84" s="533" t="s">
        <v>456</v>
      </c>
      <c r="D84" s="185" t="str">
        <f t="shared" si="22"/>
        <v>Loading...</v>
      </c>
      <c r="E84" s="534">
        <v>49992.0</v>
      </c>
      <c r="F84" s="531">
        <v>0.93</v>
      </c>
      <c r="G84" s="478">
        <f t="shared" si="23"/>
        <v>46492.56</v>
      </c>
      <c r="H84" s="508" t="str">
        <f t="shared" si="24"/>
        <v>Loading...</v>
      </c>
      <c r="I84" s="509" t="str">
        <f t="shared" si="25"/>
        <v>Loading...</v>
      </c>
      <c r="J84" s="510" t="str">
        <f t="shared" si="26"/>
        <v>Loading...</v>
      </c>
      <c r="K84" s="7" t="s">
        <v>451</v>
      </c>
    </row>
    <row r="85" ht="15.75" customHeight="1">
      <c r="A85" s="476" t="s">
        <v>457</v>
      </c>
      <c r="B85" s="477" t="s">
        <v>458</v>
      </c>
      <c r="C85" s="532" t="s">
        <v>459</v>
      </c>
      <c r="D85" s="185" t="str">
        <f t="shared" si="22"/>
        <v>Loading...</v>
      </c>
      <c r="E85" s="530">
        <v>8856.96</v>
      </c>
      <c r="F85" s="531">
        <v>1.34</v>
      </c>
      <c r="G85" s="478">
        <f t="shared" si="23"/>
        <v>11868.3264</v>
      </c>
      <c r="H85" s="508" t="str">
        <f t="shared" si="24"/>
        <v>Loading...</v>
      </c>
      <c r="I85" s="509" t="str">
        <f t="shared" si="25"/>
        <v>Loading...</v>
      </c>
      <c r="J85" s="510" t="str">
        <f t="shared" si="26"/>
        <v>Loading...</v>
      </c>
      <c r="K85" s="7" t="s">
        <v>451</v>
      </c>
    </row>
    <row r="86" ht="15.75" customHeight="1">
      <c r="A86" s="466" t="s">
        <v>463</v>
      </c>
      <c r="B86" s="459" t="s">
        <v>464</v>
      </c>
      <c r="C86" s="467" t="s">
        <v>465</v>
      </c>
      <c r="D86" s="185" t="str">
        <f t="shared" si="22"/>
        <v>Loading...</v>
      </c>
      <c r="E86" s="3">
        <v>134.26</v>
      </c>
      <c r="F86" s="531">
        <v>193.43</v>
      </c>
      <c r="G86" s="478">
        <f t="shared" si="23"/>
        <v>25969.9118</v>
      </c>
      <c r="H86" s="508" t="str">
        <f t="shared" si="24"/>
        <v>Loading...</v>
      </c>
      <c r="I86" s="463" t="str">
        <f t="shared" si="25"/>
        <v>Loading...</v>
      </c>
      <c r="J86" s="464" t="str">
        <f t="shared" si="26"/>
        <v>Loading...</v>
      </c>
      <c r="K86" s="468" t="s">
        <v>447</v>
      </c>
      <c r="L86" s="180"/>
      <c r="M86" s="180"/>
      <c r="N86" s="180"/>
      <c r="O86" s="180"/>
      <c r="P86" s="180"/>
      <c r="Q86" s="180"/>
      <c r="R86" s="180"/>
      <c r="S86" s="180"/>
      <c r="T86" s="180"/>
      <c r="U86" s="180"/>
      <c r="V86" s="180"/>
      <c r="W86" s="180"/>
      <c r="X86" s="180"/>
      <c r="Y86" s="180"/>
      <c r="Z86" s="180"/>
    </row>
    <row r="87" ht="15.75" customHeight="1">
      <c r="A87" s="466" t="s">
        <v>444</v>
      </c>
      <c r="B87" s="180" t="s">
        <v>445</v>
      </c>
      <c r="C87" s="467" t="s">
        <v>446</v>
      </c>
      <c r="D87" s="185" t="str">
        <f t="shared" si="22"/>
        <v>Loading...</v>
      </c>
      <c r="E87" s="534">
        <v>9347.0</v>
      </c>
      <c r="F87" s="531">
        <v>18.27</v>
      </c>
      <c r="G87" s="478">
        <f t="shared" si="23"/>
        <v>170769.69</v>
      </c>
      <c r="H87" s="508" t="str">
        <f t="shared" si="24"/>
        <v>Loading...</v>
      </c>
      <c r="I87" s="509" t="str">
        <f t="shared" si="25"/>
        <v>Loading...</v>
      </c>
      <c r="J87" s="510" t="str">
        <f t="shared" si="26"/>
        <v>Loading...</v>
      </c>
      <c r="K87" s="468" t="s">
        <v>447</v>
      </c>
    </row>
    <row r="88" ht="15.75" customHeight="1">
      <c r="A88" s="370" t="s">
        <v>466</v>
      </c>
      <c r="B88" s="375" t="s">
        <v>467</v>
      </c>
      <c r="C88" s="535" t="s">
        <v>468</v>
      </c>
      <c r="D88" s="536" t="str">
        <f t="shared" si="22"/>
        <v>Loading...</v>
      </c>
      <c r="E88" s="373">
        <v>35.0</v>
      </c>
      <c r="F88" s="537">
        <v>150.47</v>
      </c>
      <c r="G88" s="538">
        <f t="shared" si="23"/>
        <v>5266.45</v>
      </c>
      <c r="H88" s="508" t="str">
        <f t="shared" si="24"/>
        <v>Loading...</v>
      </c>
      <c r="I88" s="347" t="str">
        <f t="shared" si="25"/>
        <v>Loading...</v>
      </c>
      <c r="J88" s="539" t="str">
        <f t="shared" si="26"/>
        <v>Loading...</v>
      </c>
      <c r="K88" s="7" t="s">
        <v>451</v>
      </c>
    </row>
    <row r="89" ht="15.75" customHeight="1">
      <c r="D89" s="540"/>
      <c r="G89" s="412">
        <f>sum(G78:G88)</f>
        <v>281304.8632</v>
      </c>
      <c r="H89" s="541"/>
      <c r="I89" s="542" t="str">
        <f t="shared" ref="I89:J89" si="27">sum(I78:I88)</f>
        <v>Loading...</v>
      </c>
      <c r="J89" s="542" t="str">
        <f t="shared" si="27"/>
        <v>Loading...</v>
      </c>
      <c r="K89" s="25"/>
    </row>
    <row r="90" ht="15.75" customHeight="1">
      <c r="A90" s="543"/>
      <c r="B90" s="375"/>
      <c r="C90" s="535"/>
      <c r="D90" s="536"/>
      <c r="E90" s="373"/>
      <c r="F90" s="537"/>
      <c r="G90" s="538"/>
      <c r="H90" s="399"/>
      <c r="I90" s="347"/>
      <c r="J90" s="539"/>
      <c r="K90" s="349"/>
    </row>
    <row r="91" ht="15.75" customHeight="1"/>
    <row r="92" ht="15.75" customHeight="1">
      <c r="A92" s="544" t="s">
        <v>589</v>
      </c>
      <c r="B92" s="544"/>
      <c r="C92" s="545"/>
      <c r="D92" s="546" t="str">
        <f>(I92-G92)/G92</f>
        <v>Loading...</v>
      </c>
      <c r="E92" s="547"/>
      <c r="F92" s="548" t="s">
        <v>590</v>
      </c>
      <c r="G92" s="549">
        <f>G11+G32+G54+G64+G89</f>
        <v>363147.3559</v>
      </c>
      <c r="H92" s="550"/>
      <c r="I92" s="551" t="str">
        <f>I11+I32+I54+I64+I89</f>
        <v>Loading...</v>
      </c>
      <c r="J92" s="552" t="str">
        <f>I92-G92</f>
        <v>Loading...</v>
      </c>
      <c r="K92" s="553" t="str">
        <f>J92-H92+300000</f>
        <v>Loading...</v>
      </c>
      <c r="L92" s="25"/>
      <c r="M92" s="180"/>
      <c r="N92" s="180"/>
      <c r="O92" s="180"/>
      <c r="P92" s="180"/>
      <c r="Q92" s="180"/>
      <c r="R92" s="180"/>
      <c r="S92" s="180"/>
      <c r="T92" s="180"/>
      <c r="U92" s="180"/>
      <c r="V92" s="180"/>
      <c r="W92" s="180"/>
      <c r="X92" s="180"/>
      <c r="Y92" s="180"/>
      <c r="Z92" s="180"/>
      <c r="AA92" s="180"/>
    </row>
    <row r="93" ht="15.75" customHeight="1">
      <c r="A93" s="10"/>
      <c r="B93" s="545"/>
      <c r="C93" s="545"/>
      <c r="D93" s="545"/>
      <c r="E93" s="545"/>
      <c r="F93" s="545"/>
      <c r="G93" s="554" t="s">
        <v>591</v>
      </c>
      <c r="H93" s="10"/>
      <c r="I93" s="554" t="s">
        <v>592</v>
      </c>
      <c r="J93" s="555" t="s">
        <v>593</v>
      </c>
      <c r="K93" s="556" t="s">
        <v>594</v>
      </c>
      <c r="L93" s="180"/>
      <c r="M93" s="180"/>
      <c r="N93" s="180"/>
      <c r="O93" s="180"/>
      <c r="P93" s="180"/>
      <c r="Q93" s="180"/>
      <c r="R93" s="180"/>
      <c r="S93" s="180"/>
      <c r="T93" s="180"/>
      <c r="U93" s="180"/>
      <c r="V93" s="180"/>
      <c r="W93" s="180"/>
      <c r="X93" s="180"/>
      <c r="Y93" s="180"/>
      <c r="Z93" s="180"/>
      <c r="AA93" s="180"/>
    </row>
    <row r="94" ht="15.75" customHeight="1">
      <c r="A94" s="557" t="s">
        <v>595</v>
      </c>
      <c r="B94" s="558"/>
      <c r="C94" s="558"/>
      <c r="D94" s="558"/>
      <c r="E94" s="558"/>
      <c r="F94" s="558"/>
      <c r="G94" s="558"/>
      <c r="H94" s="47"/>
      <c r="I94" s="559"/>
      <c r="J94" s="560"/>
      <c r="K94" s="560"/>
      <c r="L94" s="180"/>
      <c r="M94" s="180"/>
      <c r="N94" s="180"/>
      <c r="O94" s="180"/>
      <c r="P94" s="180"/>
      <c r="Q94" s="180"/>
      <c r="R94" s="180"/>
      <c r="S94" s="180"/>
      <c r="T94" s="180"/>
      <c r="U94" s="180"/>
      <c r="V94" s="180"/>
      <c r="W94" s="180"/>
      <c r="X94" s="180"/>
      <c r="Y94" s="180"/>
      <c r="Z94" s="180"/>
      <c r="AA94" s="180"/>
    </row>
    <row r="95" ht="15.75" customHeight="1">
      <c r="D95" s="180"/>
      <c r="I95" s="431"/>
      <c r="J95" s="180"/>
      <c r="K95" s="180"/>
      <c r="L95" s="180"/>
      <c r="M95" s="180"/>
      <c r="N95" s="180"/>
      <c r="O95" s="180"/>
      <c r="P95" s="180"/>
      <c r="Q95" s="180"/>
      <c r="R95" s="180"/>
      <c r="S95" s="180"/>
      <c r="T95" s="180"/>
      <c r="U95" s="180"/>
      <c r="V95" s="180"/>
      <c r="W95" s="180"/>
      <c r="X95" s="180"/>
      <c r="Y95" s="180"/>
      <c r="Z95" s="180"/>
      <c r="AA95" s="180"/>
    </row>
    <row r="96" ht="15.75" customHeight="1">
      <c r="A96" s="561" t="s">
        <v>596</v>
      </c>
      <c r="B96" s="562"/>
      <c r="C96" s="562"/>
      <c r="D96" s="563"/>
      <c r="E96" s="562"/>
      <c r="F96" s="562"/>
      <c r="G96" s="562"/>
      <c r="H96" s="562"/>
      <c r="I96" s="564"/>
      <c r="J96" s="562"/>
      <c r="K96" s="562"/>
      <c r="L96" s="565"/>
      <c r="M96" s="479"/>
      <c r="N96" s="479"/>
      <c r="O96" s="479"/>
      <c r="P96" s="479"/>
      <c r="Q96" s="479"/>
      <c r="R96" s="479"/>
      <c r="S96" s="479"/>
      <c r="T96" s="479"/>
      <c r="U96" s="479"/>
      <c r="V96" s="479"/>
      <c r="W96" s="479"/>
      <c r="X96" s="479"/>
      <c r="Y96" s="479"/>
      <c r="Z96" s="479"/>
      <c r="AA96" s="479"/>
      <c r="AB96" s="404"/>
      <c r="AC96" s="404"/>
      <c r="AD96" s="404"/>
      <c r="AE96" s="404"/>
    </row>
    <row r="97" ht="15.75" customHeight="1">
      <c r="A97" s="561" t="s">
        <v>597</v>
      </c>
      <c r="B97" s="562"/>
      <c r="C97" s="562"/>
      <c r="D97" s="563"/>
      <c r="E97" s="562"/>
      <c r="F97" s="562"/>
      <c r="G97" s="562"/>
      <c r="H97" s="562"/>
      <c r="I97" s="564"/>
      <c r="J97" s="562"/>
      <c r="K97" s="562"/>
      <c r="L97" s="565"/>
      <c r="M97" s="479"/>
      <c r="N97" s="479"/>
      <c r="O97" s="479"/>
      <c r="P97" s="479"/>
      <c r="Q97" s="479"/>
      <c r="R97" s="479"/>
      <c r="S97" s="479"/>
      <c r="T97" s="479"/>
      <c r="U97" s="479"/>
      <c r="V97" s="479"/>
      <c r="W97" s="479"/>
      <c r="X97" s="479"/>
      <c r="Y97" s="479"/>
      <c r="Z97" s="479"/>
      <c r="AA97" s="479"/>
      <c r="AB97" s="404"/>
      <c r="AC97" s="404"/>
      <c r="AD97" s="404"/>
      <c r="AE97" s="404"/>
    </row>
    <row r="98" ht="15.75" customHeight="1">
      <c r="A98" s="561" t="s">
        <v>598</v>
      </c>
      <c r="B98" s="562"/>
      <c r="C98" s="562"/>
      <c r="D98" s="563"/>
      <c r="E98" s="562"/>
      <c r="F98" s="562"/>
      <c r="G98" s="562"/>
      <c r="H98" s="562"/>
      <c r="I98" s="564"/>
      <c r="J98" s="562"/>
      <c r="K98" s="562"/>
      <c r="L98" s="565"/>
      <c r="M98" s="479"/>
      <c r="N98" s="479"/>
      <c r="O98" s="479"/>
      <c r="P98" s="479"/>
      <c r="Q98" s="479"/>
      <c r="R98" s="479"/>
      <c r="S98" s="479"/>
      <c r="T98" s="479"/>
      <c r="U98" s="479"/>
      <c r="V98" s="479"/>
      <c r="W98" s="479"/>
      <c r="X98" s="479"/>
      <c r="Y98" s="479"/>
      <c r="Z98" s="479"/>
      <c r="AA98" s="479"/>
      <c r="AB98" s="404"/>
      <c r="AC98" s="404"/>
      <c r="AD98" s="404"/>
      <c r="AE98" s="404"/>
    </row>
    <row r="99" ht="15.75" customHeight="1">
      <c r="A99" s="566" t="s">
        <v>599</v>
      </c>
      <c r="B99" s="562"/>
      <c r="C99" s="562"/>
      <c r="D99" s="563"/>
      <c r="E99" s="562"/>
      <c r="F99" s="562"/>
      <c r="G99" s="562"/>
      <c r="H99" s="562"/>
      <c r="I99" s="564"/>
      <c r="J99" s="562"/>
      <c r="K99" s="562"/>
      <c r="L99" s="565"/>
      <c r="M99" s="479"/>
      <c r="N99" s="479"/>
      <c r="O99" s="479"/>
      <c r="P99" s="479"/>
      <c r="Q99" s="479"/>
      <c r="R99" s="479"/>
      <c r="S99" s="479"/>
      <c r="T99" s="479"/>
      <c r="U99" s="479"/>
      <c r="V99" s="479"/>
      <c r="W99" s="479"/>
      <c r="X99" s="479"/>
      <c r="Y99" s="479"/>
      <c r="Z99" s="479"/>
      <c r="AA99" s="479"/>
      <c r="AB99" s="404"/>
      <c r="AC99" s="404"/>
      <c r="AD99" s="404"/>
      <c r="AE99" s="404"/>
    </row>
    <row r="100" ht="15.75" customHeight="1">
      <c r="A100" s="566" t="s">
        <v>600</v>
      </c>
      <c r="B100" s="562"/>
      <c r="C100" s="562"/>
      <c r="D100" s="563"/>
      <c r="E100" s="562"/>
      <c r="F100" s="562"/>
      <c r="G100" s="562"/>
      <c r="H100" s="562"/>
      <c r="I100" s="564"/>
      <c r="J100" s="562"/>
      <c r="K100" s="562"/>
      <c r="L100" s="565"/>
      <c r="M100" s="479"/>
      <c r="N100" s="479"/>
      <c r="O100" s="479"/>
      <c r="P100" s="479"/>
      <c r="Q100" s="479"/>
      <c r="R100" s="479"/>
      <c r="S100" s="479"/>
      <c r="T100" s="479"/>
      <c r="U100" s="479"/>
      <c r="V100" s="479"/>
      <c r="W100" s="479"/>
      <c r="X100" s="479"/>
      <c r="Y100" s="479"/>
      <c r="Z100" s="479"/>
      <c r="AA100" s="479"/>
      <c r="AB100" s="404"/>
      <c r="AC100" s="404"/>
      <c r="AD100" s="404"/>
      <c r="AE100" s="404"/>
    </row>
    <row r="101" ht="15.75" customHeight="1">
      <c r="A101" s="566" t="s">
        <v>601</v>
      </c>
      <c r="B101" s="562"/>
      <c r="C101" s="562"/>
      <c r="D101" s="563"/>
      <c r="E101" s="562"/>
      <c r="F101" s="562"/>
      <c r="G101" s="562"/>
      <c r="H101" s="562"/>
      <c r="I101" s="564"/>
      <c r="J101" s="562"/>
      <c r="K101" s="562"/>
      <c r="L101" s="565"/>
      <c r="M101" s="479"/>
      <c r="N101" s="479"/>
      <c r="O101" s="479"/>
      <c r="P101" s="479"/>
      <c r="Q101" s="479"/>
      <c r="R101" s="479"/>
      <c r="S101" s="479"/>
      <c r="T101" s="479"/>
      <c r="U101" s="479"/>
      <c r="V101" s="479"/>
      <c r="W101" s="479"/>
      <c r="X101" s="479"/>
      <c r="Y101" s="479"/>
      <c r="Z101" s="479"/>
      <c r="AA101" s="479"/>
      <c r="AB101" s="404"/>
      <c r="AC101" s="404"/>
      <c r="AD101" s="404"/>
      <c r="AE101" s="404"/>
    </row>
    <row r="102" ht="15.75" customHeight="1">
      <c r="A102" s="404" t="s">
        <v>602</v>
      </c>
      <c r="B102" s="479"/>
      <c r="C102" s="479"/>
      <c r="D102" s="567"/>
      <c r="E102" s="479"/>
      <c r="F102" s="479"/>
      <c r="G102" s="479"/>
      <c r="H102" s="479"/>
      <c r="I102" s="338"/>
      <c r="J102" s="479"/>
      <c r="K102" s="479"/>
      <c r="L102" s="565"/>
      <c r="M102" s="479"/>
      <c r="N102" s="479"/>
      <c r="O102" s="479"/>
      <c r="P102" s="479"/>
      <c r="Q102" s="479"/>
      <c r="R102" s="479"/>
      <c r="S102" s="479"/>
      <c r="T102" s="479"/>
      <c r="U102" s="479"/>
      <c r="V102" s="479"/>
      <c r="W102" s="479"/>
      <c r="X102" s="479"/>
      <c r="Y102" s="479"/>
      <c r="Z102" s="479"/>
      <c r="AA102" s="479"/>
      <c r="AB102" s="404"/>
      <c r="AC102" s="404"/>
      <c r="AD102" s="404"/>
      <c r="AE102" s="404"/>
    </row>
    <row r="103" ht="15.75" customHeight="1">
      <c r="A103" s="404" t="s">
        <v>603</v>
      </c>
      <c r="B103" s="479"/>
      <c r="C103" s="479"/>
      <c r="D103" s="567"/>
      <c r="E103" s="479"/>
      <c r="F103" s="479"/>
      <c r="G103" s="479"/>
      <c r="H103" s="479"/>
      <c r="I103" s="338"/>
      <c r="J103" s="479"/>
      <c r="K103" s="479"/>
      <c r="L103" s="565"/>
      <c r="M103" s="479"/>
      <c r="N103" s="479"/>
      <c r="O103" s="479"/>
      <c r="P103" s="479"/>
      <c r="Q103" s="479"/>
      <c r="R103" s="479"/>
      <c r="S103" s="479"/>
      <c r="T103" s="479"/>
      <c r="U103" s="479"/>
      <c r="V103" s="479"/>
      <c r="W103" s="479"/>
      <c r="X103" s="479"/>
      <c r="Y103" s="479"/>
      <c r="Z103" s="479"/>
      <c r="AA103" s="479"/>
      <c r="AB103" s="404"/>
      <c r="AC103" s="404"/>
      <c r="AD103" s="404"/>
      <c r="AE103" s="404"/>
    </row>
    <row r="104" ht="15.75" customHeight="1">
      <c r="A104" s="404" t="s">
        <v>604</v>
      </c>
      <c r="B104" s="479"/>
      <c r="C104" s="479"/>
      <c r="D104" s="567"/>
      <c r="E104" s="479"/>
      <c r="F104" s="479"/>
      <c r="G104" s="479"/>
      <c r="H104" s="479"/>
      <c r="I104" s="338"/>
      <c r="J104" s="479"/>
      <c r="K104" s="479"/>
      <c r="L104" s="565"/>
      <c r="M104" s="479"/>
      <c r="N104" s="479"/>
      <c r="O104" s="479"/>
      <c r="P104" s="479"/>
      <c r="Q104" s="479"/>
      <c r="R104" s="479"/>
      <c r="S104" s="479"/>
      <c r="T104" s="479"/>
      <c r="U104" s="479"/>
      <c r="V104" s="479"/>
      <c r="W104" s="479"/>
      <c r="X104" s="479"/>
      <c r="Y104" s="479"/>
      <c r="Z104" s="479"/>
      <c r="AA104" s="479"/>
      <c r="AB104" s="404"/>
      <c r="AC104" s="404"/>
      <c r="AD104" s="404"/>
      <c r="AE104" s="404"/>
    </row>
    <row r="105" ht="15.75" customHeight="1">
      <c r="A105" s="404" t="s">
        <v>605</v>
      </c>
      <c r="B105" s="479"/>
      <c r="C105" s="479"/>
      <c r="D105" s="567"/>
      <c r="E105" s="479"/>
      <c r="F105" s="479"/>
      <c r="G105" s="479"/>
      <c r="H105" s="479"/>
      <c r="I105" s="338"/>
      <c r="J105" s="479"/>
      <c r="K105" s="479"/>
      <c r="L105" s="565"/>
      <c r="M105" s="479"/>
      <c r="N105" s="479"/>
      <c r="O105" s="479"/>
      <c r="P105" s="479"/>
      <c r="Q105" s="479"/>
      <c r="R105" s="479"/>
      <c r="S105" s="479"/>
      <c r="T105" s="479"/>
      <c r="U105" s="479"/>
      <c r="V105" s="479"/>
      <c r="W105" s="479"/>
      <c r="X105" s="479"/>
      <c r="Y105" s="479"/>
      <c r="Z105" s="479"/>
      <c r="AA105" s="479"/>
      <c r="AB105" s="404"/>
      <c r="AC105" s="404"/>
      <c r="AD105" s="404"/>
      <c r="AE105" s="404"/>
    </row>
    <row r="106" ht="15.75" customHeight="1">
      <c r="A106" s="404" t="s">
        <v>606</v>
      </c>
      <c r="B106" s="479"/>
      <c r="C106" s="479"/>
      <c r="D106" s="567"/>
      <c r="E106" s="479"/>
      <c r="F106" s="479"/>
      <c r="G106" s="479"/>
      <c r="H106" s="479"/>
      <c r="I106" s="338"/>
      <c r="J106" s="479"/>
      <c r="K106" s="479"/>
      <c r="L106" s="565"/>
      <c r="M106" s="479"/>
      <c r="N106" s="479"/>
      <c r="O106" s="479"/>
      <c r="P106" s="479"/>
      <c r="Q106" s="479"/>
      <c r="R106" s="479"/>
      <c r="S106" s="479"/>
      <c r="T106" s="479"/>
      <c r="U106" s="479"/>
      <c r="V106" s="479"/>
      <c r="W106" s="479"/>
      <c r="X106" s="479"/>
      <c r="Y106" s="479"/>
      <c r="Z106" s="479"/>
      <c r="AA106" s="479"/>
      <c r="AB106" s="404"/>
      <c r="AC106" s="404"/>
      <c r="AD106" s="404"/>
      <c r="AE106" s="404"/>
    </row>
    <row r="107" ht="15.75" customHeight="1">
      <c r="A107" s="404" t="s">
        <v>607</v>
      </c>
      <c r="B107" s="479"/>
      <c r="C107" s="479"/>
      <c r="D107" s="567"/>
      <c r="E107" s="479"/>
      <c r="F107" s="479"/>
      <c r="G107" s="479"/>
      <c r="H107" s="479"/>
      <c r="I107" s="338"/>
      <c r="J107" s="479"/>
      <c r="K107" s="479"/>
      <c r="L107" s="565"/>
      <c r="M107" s="479"/>
      <c r="N107" s="479"/>
      <c r="O107" s="479"/>
      <c r="P107" s="479"/>
      <c r="Q107" s="479"/>
      <c r="R107" s="479"/>
      <c r="S107" s="479"/>
      <c r="T107" s="479"/>
      <c r="U107" s="479"/>
      <c r="V107" s="479"/>
      <c r="W107" s="479"/>
      <c r="X107" s="479"/>
      <c r="Y107" s="479"/>
      <c r="Z107" s="479"/>
      <c r="AA107" s="479"/>
      <c r="AB107" s="404"/>
      <c r="AC107" s="404"/>
      <c r="AD107" s="404"/>
      <c r="AE107" s="404"/>
    </row>
    <row r="108" ht="15.75" customHeight="1">
      <c r="A108" s="404" t="s">
        <v>608</v>
      </c>
      <c r="B108" s="479"/>
      <c r="C108" s="479"/>
      <c r="D108" s="567"/>
      <c r="E108" s="479"/>
      <c r="F108" s="479"/>
      <c r="G108" s="479"/>
      <c r="H108" s="479"/>
      <c r="I108" s="338"/>
      <c r="J108" s="479"/>
      <c r="K108" s="479"/>
      <c r="L108" s="565"/>
      <c r="M108" s="479"/>
      <c r="N108" s="479"/>
      <c r="O108" s="479"/>
      <c r="P108" s="479"/>
      <c r="Q108" s="479"/>
      <c r="R108" s="479"/>
      <c r="S108" s="479"/>
      <c r="T108" s="479"/>
      <c r="U108" s="479"/>
      <c r="V108" s="479"/>
      <c r="W108" s="479"/>
      <c r="X108" s="479"/>
      <c r="Y108" s="479"/>
      <c r="Z108" s="479"/>
      <c r="AA108" s="479"/>
      <c r="AB108" s="404"/>
      <c r="AC108" s="404"/>
      <c r="AD108" s="404"/>
      <c r="AE108" s="404"/>
    </row>
    <row r="109" ht="15.75" customHeight="1">
      <c r="A109" s="404" t="s">
        <v>609</v>
      </c>
      <c r="B109" s="479"/>
      <c r="C109" s="479"/>
      <c r="D109" s="567"/>
      <c r="E109" s="479"/>
      <c r="F109" s="479"/>
      <c r="G109" s="479"/>
      <c r="H109" s="479"/>
      <c r="I109" s="338"/>
      <c r="J109" s="479"/>
      <c r="K109" s="479"/>
      <c r="L109" s="565"/>
      <c r="M109" s="479"/>
      <c r="N109" s="479"/>
      <c r="O109" s="479"/>
      <c r="P109" s="479"/>
      <c r="Q109" s="479"/>
      <c r="R109" s="479"/>
      <c r="S109" s="479"/>
      <c r="T109" s="479"/>
      <c r="U109" s="479"/>
      <c r="V109" s="479"/>
      <c r="W109" s="479"/>
      <c r="X109" s="479"/>
      <c r="Y109" s="479"/>
      <c r="Z109" s="479"/>
      <c r="AA109" s="479"/>
      <c r="AB109" s="404"/>
      <c r="AC109" s="404"/>
      <c r="AD109" s="404"/>
      <c r="AE109" s="404"/>
    </row>
    <row r="110" ht="15.75" customHeight="1">
      <c r="A110" s="404" t="s">
        <v>610</v>
      </c>
      <c r="B110" s="479"/>
      <c r="C110" s="479"/>
      <c r="D110" s="567"/>
      <c r="E110" s="479"/>
      <c r="F110" s="479"/>
      <c r="G110" s="479"/>
      <c r="H110" s="479"/>
      <c r="I110" s="338"/>
      <c r="J110" s="479"/>
      <c r="K110" s="479"/>
      <c r="L110" s="565"/>
      <c r="M110" s="479"/>
      <c r="N110" s="479"/>
      <c r="O110" s="479"/>
      <c r="P110" s="479"/>
      <c r="Q110" s="479"/>
      <c r="R110" s="479"/>
      <c r="S110" s="479"/>
      <c r="T110" s="479"/>
      <c r="U110" s="479"/>
      <c r="V110" s="479"/>
      <c r="W110" s="479"/>
      <c r="X110" s="479"/>
      <c r="Y110" s="479"/>
      <c r="Z110" s="479"/>
      <c r="AA110" s="479"/>
      <c r="AB110" s="404"/>
      <c r="AC110" s="404"/>
      <c r="AD110" s="404"/>
      <c r="AE110" s="404"/>
    </row>
    <row r="111" ht="15.75" customHeight="1">
      <c r="A111" s="404" t="s">
        <v>611</v>
      </c>
      <c r="B111" s="479"/>
      <c r="C111" s="479"/>
      <c r="D111" s="567"/>
      <c r="E111" s="479"/>
      <c r="F111" s="479"/>
      <c r="G111" s="479"/>
      <c r="H111" s="479"/>
      <c r="I111" s="338"/>
      <c r="J111" s="479"/>
      <c r="K111" s="479"/>
      <c r="L111" s="565"/>
      <c r="M111" s="479"/>
      <c r="N111" s="479"/>
      <c r="O111" s="479"/>
      <c r="P111" s="479"/>
      <c r="Q111" s="479"/>
      <c r="R111" s="479"/>
      <c r="S111" s="479"/>
      <c r="T111" s="479"/>
      <c r="U111" s="479"/>
      <c r="V111" s="479"/>
      <c r="W111" s="479"/>
      <c r="X111" s="479"/>
      <c r="Y111" s="479"/>
      <c r="Z111" s="479"/>
      <c r="AA111" s="479"/>
      <c r="AB111" s="404"/>
      <c r="AC111" s="404"/>
      <c r="AD111" s="404"/>
      <c r="AE111" s="404"/>
    </row>
    <row r="112" ht="15.75" customHeight="1">
      <c r="A112" s="404" t="s">
        <v>612</v>
      </c>
      <c r="B112" s="479"/>
      <c r="C112" s="479"/>
      <c r="D112" s="479"/>
      <c r="E112" s="479"/>
      <c r="F112" s="479"/>
      <c r="G112" s="479"/>
      <c r="H112" s="479"/>
      <c r="I112" s="338"/>
      <c r="J112" s="479"/>
      <c r="K112" s="479"/>
      <c r="L112" s="479"/>
      <c r="M112" s="479"/>
      <c r="N112" s="479"/>
      <c r="O112" s="479"/>
      <c r="P112" s="479"/>
      <c r="Q112" s="479"/>
      <c r="R112" s="479"/>
      <c r="S112" s="479"/>
      <c r="T112" s="479"/>
      <c r="U112" s="479"/>
      <c r="V112" s="479"/>
      <c r="W112" s="479"/>
      <c r="X112" s="479"/>
      <c r="Y112" s="479"/>
      <c r="Z112" s="479"/>
      <c r="AA112" s="479"/>
      <c r="AB112" s="404"/>
      <c r="AC112" s="404"/>
      <c r="AD112" s="404"/>
      <c r="AE112" s="404"/>
    </row>
    <row r="113" ht="15.75" customHeight="1"/>
    <row r="114" ht="15.75" customHeight="1">
      <c r="A114" s="568" t="s">
        <v>613</v>
      </c>
      <c r="B114" s="569"/>
      <c r="C114" s="569"/>
      <c r="D114" s="570"/>
      <c r="E114" s="569"/>
      <c r="F114" s="569"/>
      <c r="G114" s="569"/>
      <c r="H114" s="569"/>
      <c r="I114" s="571"/>
      <c r="J114" s="569"/>
      <c r="K114" s="569"/>
      <c r="L114" s="572"/>
      <c r="M114" s="180"/>
      <c r="N114" s="180"/>
      <c r="O114" s="180"/>
      <c r="P114" s="180"/>
      <c r="Q114" s="180"/>
      <c r="R114" s="180"/>
      <c r="S114" s="180"/>
      <c r="T114" s="180"/>
      <c r="U114" s="180"/>
      <c r="V114" s="180"/>
      <c r="W114" s="180"/>
      <c r="X114" s="180"/>
      <c r="Y114" s="180"/>
      <c r="Z114" s="180"/>
      <c r="AA114" s="180"/>
    </row>
    <row r="115" ht="15.75" customHeight="1">
      <c r="A115" s="25"/>
      <c r="B115" s="180"/>
      <c r="C115" s="180"/>
      <c r="D115" s="1"/>
      <c r="E115" s="573"/>
      <c r="F115" s="428"/>
      <c r="G115" s="429"/>
      <c r="H115" s="572"/>
      <c r="J115" s="574"/>
      <c r="K115" s="428"/>
      <c r="L115" s="572"/>
      <c r="M115" s="180"/>
      <c r="N115" s="180"/>
      <c r="O115" s="180"/>
      <c r="P115" s="180"/>
      <c r="Q115" s="180"/>
      <c r="R115" s="180"/>
      <c r="S115" s="180"/>
      <c r="T115" s="180"/>
      <c r="U115" s="180"/>
      <c r="V115" s="180"/>
      <c r="W115" s="180"/>
      <c r="X115" s="180"/>
      <c r="Y115" s="180"/>
      <c r="Z115" s="180"/>
      <c r="AA115" s="180"/>
    </row>
    <row r="116" ht="15.75" customHeight="1">
      <c r="A116" s="25" t="s">
        <v>614</v>
      </c>
      <c r="B116" s="180"/>
      <c r="C116" s="180"/>
      <c r="D116" s="575" t="s">
        <v>615</v>
      </c>
      <c r="E116" s="576"/>
      <c r="F116" s="577"/>
      <c r="G116" s="578" t="s">
        <v>616</v>
      </c>
      <c r="H116" s="579" t="s">
        <v>617</v>
      </c>
      <c r="I116" s="580"/>
      <c r="J116" s="581"/>
      <c r="K116" s="582"/>
      <c r="M116" s="180"/>
      <c r="N116" s="180"/>
      <c r="O116" s="180"/>
      <c r="P116" s="180"/>
      <c r="Q116" s="180"/>
      <c r="R116" s="180"/>
      <c r="S116" s="180"/>
      <c r="T116" s="180"/>
      <c r="U116" s="180"/>
      <c r="V116" s="180"/>
      <c r="W116" s="180"/>
      <c r="X116" s="180"/>
      <c r="Y116" s="180"/>
      <c r="Z116" s="180"/>
      <c r="AA116" s="180"/>
    </row>
    <row r="117" ht="15.75" customHeight="1">
      <c r="A117" s="583" t="s">
        <v>618</v>
      </c>
      <c r="B117" s="180"/>
      <c r="C117" s="180"/>
      <c r="D117" s="584"/>
      <c r="E117" s="585" t="s">
        <v>449</v>
      </c>
      <c r="F117" s="586" t="s">
        <v>480</v>
      </c>
      <c r="G117" s="587">
        <v>1.0</v>
      </c>
      <c r="I117" s="588"/>
      <c r="J117" s="589"/>
      <c r="K117" s="589"/>
      <c r="M117" s="180"/>
      <c r="N117" s="180"/>
      <c r="O117" s="180"/>
      <c r="P117" s="180"/>
      <c r="Q117" s="180"/>
      <c r="R117" s="180"/>
      <c r="S117" s="180"/>
      <c r="T117" s="180"/>
      <c r="U117" s="180"/>
      <c r="V117" s="180"/>
      <c r="W117" s="180"/>
      <c r="X117" s="180"/>
      <c r="Y117" s="180"/>
      <c r="Z117" s="180"/>
      <c r="AA117" s="180"/>
    </row>
    <row r="118" ht="15.75" customHeight="1">
      <c r="A118" s="25"/>
      <c r="B118" s="180"/>
      <c r="C118" s="180"/>
      <c r="D118" s="584"/>
      <c r="E118" s="585" t="s">
        <v>453</v>
      </c>
      <c r="F118" s="585" t="s">
        <v>454</v>
      </c>
      <c r="G118" s="587">
        <v>2.0</v>
      </c>
      <c r="I118" s="588"/>
      <c r="J118" s="589"/>
      <c r="K118" s="589"/>
      <c r="M118" s="180"/>
      <c r="N118" s="180"/>
      <c r="O118" s="180"/>
      <c r="P118" s="180"/>
      <c r="Q118" s="180"/>
      <c r="R118" s="180"/>
      <c r="S118" s="180"/>
      <c r="T118" s="180"/>
      <c r="U118" s="180"/>
      <c r="V118" s="180"/>
      <c r="W118" s="180"/>
      <c r="X118" s="180"/>
      <c r="Y118" s="180"/>
      <c r="Z118" s="180"/>
      <c r="AA118" s="180"/>
    </row>
    <row r="119" ht="15.75" customHeight="1">
      <c r="A119" s="25"/>
      <c r="B119" s="180"/>
      <c r="C119" s="180"/>
      <c r="D119" s="584"/>
      <c r="E119" s="590" t="s">
        <v>458</v>
      </c>
      <c r="F119" s="591" t="s">
        <v>459</v>
      </c>
      <c r="G119" s="587">
        <v>3.0</v>
      </c>
      <c r="I119" s="588"/>
      <c r="J119" s="589"/>
      <c r="K119" s="589"/>
      <c r="M119" s="180"/>
      <c r="N119" s="180"/>
      <c r="O119" s="180"/>
      <c r="P119" s="180"/>
      <c r="Q119" s="180"/>
      <c r="R119" s="180"/>
      <c r="S119" s="180"/>
      <c r="T119" s="180"/>
      <c r="U119" s="180"/>
      <c r="V119" s="180"/>
      <c r="W119" s="180"/>
      <c r="X119" s="180"/>
      <c r="Y119" s="180"/>
      <c r="Z119" s="180"/>
      <c r="AA119" s="180"/>
    </row>
    <row r="120" ht="15.75" customHeight="1">
      <c r="A120" s="25"/>
      <c r="B120" s="180"/>
      <c r="C120" s="180"/>
      <c r="D120" s="584"/>
      <c r="E120" s="592" t="s">
        <v>445</v>
      </c>
      <c r="F120" s="593" t="s">
        <v>446</v>
      </c>
      <c r="G120" s="587">
        <v>4.0</v>
      </c>
      <c r="H120" s="562"/>
      <c r="I120" s="594"/>
      <c r="J120" s="595"/>
      <c r="K120" s="562"/>
      <c r="M120" s="180"/>
      <c r="N120" s="180"/>
      <c r="O120" s="180"/>
      <c r="P120" s="180"/>
      <c r="Q120" s="180"/>
      <c r="R120" s="180"/>
      <c r="S120" s="180"/>
      <c r="T120" s="180"/>
      <c r="U120" s="180"/>
      <c r="V120" s="180"/>
      <c r="W120" s="180"/>
      <c r="X120" s="180"/>
      <c r="Y120" s="180"/>
      <c r="Z120" s="180"/>
      <c r="AA120" s="180"/>
    </row>
    <row r="121" ht="15.75" customHeight="1">
      <c r="A121" s="25"/>
      <c r="B121" s="180"/>
      <c r="C121" s="180"/>
      <c r="D121" s="596"/>
      <c r="E121" s="586" t="s">
        <v>619</v>
      </c>
      <c r="F121" s="597" t="s">
        <v>620</v>
      </c>
      <c r="G121" s="587">
        <v>5.0</v>
      </c>
      <c r="I121" s="598"/>
      <c r="J121" s="562"/>
      <c r="K121" s="594"/>
      <c r="M121" s="180"/>
      <c r="N121" s="180"/>
      <c r="O121" s="180"/>
      <c r="P121" s="180"/>
      <c r="Q121" s="180"/>
      <c r="R121" s="180"/>
      <c r="S121" s="180"/>
      <c r="T121" s="180"/>
      <c r="U121" s="180"/>
      <c r="V121" s="180"/>
      <c r="W121" s="180"/>
      <c r="X121" s="180"/>
      <c r="Y121" s="180"/>
      <c r="Z121" s="180"/>
      <c r="AA121" s="180"/>
    </row>
    <row r="122" ht="15.75" customHeight="1">
      <c r="A122" s="25"/>
      <c r="B122" s="180"/>
      <c r="C122" s="180"/>
      <c r="D122" s="596"/>
      <c r="E122" s="586" t="s">
        <v>563</v>
      </c>
      <c r="F122" s="597" t="s">
        <v>564</v>
      </c>
      <c r="G122" s="587">
        <v>6.0</v>
      </c>
      <c r="I122" s="598"/>
      <c r="J122" s="562"/>
      <c r="K122" s="594"/>
      <c r="M122" s="180"/>
      <c r="N122" s="180"/>
      <c r="O122" s="180"/>
      <c r="P122" s="180"/>
      <c r="Q122" s="180"/>
      <c r="R122" s="180"/>
      <c r="S122" s="180"/>
      <c r="T122" s="180"/>
      <c r="U122" s="180"/>
      <c r="V122" s="180"/>
      <c r="W122" s="180"/>
      <c r="X122" s="180"/>
      <c r="Y122" s="180"/>
      <c r="Z122" s="180"/>
      <c r="AA122" s="180"/>
    </row>
    <row r="123" ht="15.75" customHeight="1">
      <c r="A123" s="25"/>
      <c r="B123" s="180"/>
      <c r="C123" s="180"/>
      <c r="D123" s="596"/>
      <c r="E123" s="586" t="s">
        <v>476</v>
      </c>
      <c r="F123" s="597" t="s">
        <v>477</v>
      </c>
      <c r="G123" s="587">
        <v>7.0</v>
      </c>
      <c r="I123" s="598"/>
      <c r="J123" s="562"/>
      <c r="K123" s="594"/>
      <c r="M123" s="180"/>
      <c r="N123" s="180"/>
      <c r="O123" s="180"/>
      <c r="P123" s="180"/>
      <c r="Q123" s="180"/>
      <c r="R123" s="180"/>
      <c r="S123" s="180"/>
      <c r="T123" s="180"/>
      <c r="U123" s="180"/>
      <c r="V123" s="180"/>
      <c r="W123" s="180"/>
      <c r="X123" s="180"/>
      <c r="Y123" s="180"/>
      <c r="Z123" s="180"/>
      <c r="AA123" s="180"/>
    </row>
    <row r="124" ht="15.75" customHeight="1">
      <c r="A124" s="25"/>
      <c r="B124" s="180"/>
      <c r="C124" s="180"/>
      <c r="D124" s="476"/>
      <c r="E124" s="562"/>
      <c r="F124" s="594"/>
      <c r="G124" s="595"/>
      <c r="I124" s="599"/>
      <c r="J124" s="394"/>
      <c r="K124" s="1"/>
      <c r="L124" s="600"/>
      <c r="M124" s="180"/>
      <c r="N124" s="180"/>
      <c r="O124" s="180"/>
      <c r="P124" s="180"/>
      <c r="Q124" s="180"/>
      <c r="R124" s="180"/>
      <c r="S124" s="180"/>
      <c r="T124" s="180"/>
      <c r="U124" s="180"/>
      <c r="V124" s="180"/>
      <c r="W124" s="180"/>
      <c r="X124" s="180"/>
      <c r="Y124" s="180"/>
      <c r="Z124" s="180"/>
      <c r="AA124" s="180"/>
    </row>
    <row r="125" ht="15.75" customHeight="1">
      <c r="A125" s="180"/>
      <c r="B125" s="180"/>
      <c r="C125" s="180"/>
      <c r="D125" s="180"/>
      <c r="H125" s="472"/>
      <c r="I125" s="431"/>
      <c r="J125" s="180"/>
      <c r="K125" s="180"/>
      <c r="L125" s="180"/>
      <c r="M125" s="180"/>
      <c r="N125" s="180"/>
      <c r="O125" s="180"/>
      <c r="P125" s="180"/>
      <c r="Q125" s="180"/>
      <c r="R125" s="180"/>
      <c r="S125" s="180"/>
      <c r="T125" s="180"/>
      <c r="U125" s="180"/>
      <c r="V125" s="180"/>
      <c r="W125" s="180"/>
      <c r="X125" s="180"/>
      <c r="Y125" s="180"/>
      <c r="Z125" s="180"/>
      <c r="AA125" s="180"/>
    </row>
    <row r="126" ht="15.75" customHeight="1">
      <c r="A126" s="227" t="s">
        <v>293</v>
      </c>
      <c r="B126" s="180"/>
      <c r="C126" s="180"/>
      <c r="D126" s="180"/>
      <c r="H126" s="472"/>
      <c r="I126" s="431"/>
      <c r="J126" s="180"/>
      <c r="K126" s="180"/>
      <c r="L126" s="180"/>
      <c r="M126" s="180"/>
      <c r="N126" s="180"/>
      <c r="O126" s="180"/>
      <c r="P126" s="180"/>
      <c r="Q126" s="180"/>
      <c r="R126" s="180"/>
      <c r="S126" s="180"/>
      <c r="T126" s="180"/>
      <c r="U126" s="180"/>
      <c r="V126" s="180"/>
      <c r="W126" s="180"/>
      <c r="X126" s="180"/>
      <c r="Y126" s="180"/>
      <c r="Z126" s="180"/>
      <c r="AA126" s="180"/>
    </row>
    <row r="127" ht="15.75" customHeight="1">
      <c r="A127" s="228" t="s">
        <v>294</v>
      </c>
      <c r="B127" s="180"/>
      <c r="C127" s="180"/>
      <c r="D127" s="180"/>
      <c r="H127" s="472"/>
      <c r="I127" s="431"/>
      <c r="J127" s="180"/>
      <c r="K127" s="180"/>
      <c r="L127" s="180"/>
      <c r="M127" s="180"/>
      <c r="N127" s="180"/>
      <c r="O127" s="180"/>
      <c r="P127" s="180"/>
      <c r="Q127" s="180"/>
      <c r="R127" s="180"/>
      <c r="S127" s="180"/>
      <c r="T127" s="180"/>
      <c r="U127" s="180"/>
      <c r="V127" s="180"/>
      <c r="W127" s="180"/>
      <c r="X127" s="180"/>
      <c r="Y127" s="180"/>
      <c r="Z127" s="180"/>
      <c r="AA127" s="180"/>
    </row>
    <row r="128" ht="15.75" customHeight="1">
      <c r="A128" s="228" t="s">
        <v>295</v>
      </c>
      <c r="B128" s="180"/>
      <c r="C128" s="180"/>
      <c r="D128" s="180"/>
      <c r="E128" s="180"/>
      <c r="F128" s="180"/>
      <c r="G128" s="472"/>
      <c r="H128" s="472"/>
      <c r="I128" s="431"/>
      <c r="J128" s="180"/>
      <c r="K128" s="180"/>
      <c r="L128" s="180"/>
      <c r="M128" s="180"/>
      <c r="N128" s="180"/>
      <c r="O128" s="180"/>
      <c r="P128" s="180"/>
      <c r="Q128" s="180"/>
      <c r="R128" s="180"/>
      <c r="S128" s="180"/>
      <c r="T128" s="180"/>
      <c r="U128" s="180"/>
      <c r="V128" s="180"/>
      <c r="W128" s="180"/>
      <c r="X128" s="180"/>
      <c r="Y128" s="180"/>
      <c r="Z128" s="180"/>
      <c r="AA128" s="180"/>
    </row>
    <row r="129" ht="15.75" customHeight="1">
      <c r="A129" s="229"/>
      <c r="B129" s="180"/>
      <c r="C129" s="180"/>
      <c r="D129" s="180"/>
      <c r="E129" s="180"/>
      <c r="F129" s="180"/>
      <c r="G129" s="472"/>
      <c r="H129" s="472"/>
      <c r="I129" s="431"/>
      <c r="J129" s="180"/>
      <c r="K129" s="180"/>
      <c r="L129" s="180"/>
      <c r="M129" s="180"/>
      <c r="N129" s="180"/>
      <c r="O129" s="180"/>
      <c r="P129" s="180"/>
      <c r="Q129" s="180"/>
      <c r="R129" s="180"/>
      <c r="S129" s="180"/>
      <c r="T129" s="180"/>
      <c r="U129" s="180"/>
      <c r="V129" s="180"/>
      <c r="W129" s="180"/>
      <c r="X129" s="180"/>
      <c r="Y129" s="180"/>
      <c r="Z129" s="180"/>
      <c r="AA129" s="180"/>
    </row>
    <row r="130" ht="15.75" customHeight="1">
      <c r="A130" s="180"/>
      <c r="B130" s="180"/>
      <c r="C130" s="180"/>
      <c r="D130" s="180"/>
      <c r="E130" s="180"/>
      <c r="F130" s="180"/>
      <c r="G130" s="472"/>
      <c r="H130" s="472"/>
      <c r="I130" s="431"/>
      <c r="J130" s="180"/>
      <c r="K130" s="180"/>
      <c r="L130" s="180"/>
      <c r="M130" s="180"/>
      <c r="N130" s="180"/>
      <c r="O130" s="180"/>
      <c r="P130" s="180"/>
      <c r="Q130" s="180"/>
      <c r="R130" s="180"/>
      <c r="S130" s="180"/>
      <c r="T130" s="180"/>
      <c r="U130" s="180"/>
      <c r="V130" s="180"/>
      <c r="W130" s="180"/>
      <c r="X130" s="180"/>
      <c r="Y130" s="180"/>
      <c r="Z130" s="180"/>
      <c r="AA130" s="180"/>
    </row>
    <row r="131" ht="15.75" customHeight="1">
      <c r="A131" s="230"/>
      <c r="B131" s="180"/>
      <c r="C131" s="180"/>
      <c r="D131" s="180"/>
      <c r="E131" s="180"/>
      <c r="F131" s="180"/>
      <c r="G131" s="472"/>
      <c r="H131" s="472"/>
      <c r="I131" s="431"/>
      <c r="J131" s="180"/>
      <c r="K131" s="180"/>
      <c r="L131" s="180"/>
      <c r="M131" s="180"/>
      <c r="N131" s="180"/>
      <c r="O131" s="180"/>
      <c r="P131" s="180"/>
      <c r="Q131" s="180"/>
      <c r="R131" s="180"/>
      <c r="S131" s="180"/>
      <c r="T131" s="180"/>
      <c r="U131" s="180"/>
      <c r="V131" s="180"/>
      <c r="W131" s="180"/>
      <c r="X131" s="180"/>
      <c r="Y131" s="180"/>
      <c r="Z131" s="180"/>
      <c r="AA131" s="180"/>
    </row>
    <row r="132" ht="15.75" customHeight="1">
      <c r="A132" s="230"/>
      <c r="B132" s="180"/>
      <c r="C132" s="180"/>
      <c r="D132" s="180"/>
      <c r="E132" s="180"/>
      <c r="F132" s="180"/>
      <c r="G132" s="472"/>
      <c r="H132" s="472"/>
      <c r="I132" s="431"/>
      <c r="J132" s="180"/>
      <c r="K132" s="180"/>
      <c r="L132" s="180"/>
      <c r="M132" s="180"/>
      <c r="N132" s="180"/>
      <c r="O132" s="180"/>
      <c r="P132" s="180"/>
      <c r="Q132" s="180"/>
      <c r="R132" s="180"/>
      <c r="S132" s="180"/>
      <c r="T132" s="180"/>
      <c r="U132" s="180"/>
      <c r="V132" s="180"/>
      <c r="W132" s="180"/>
      <c r="X132" s="180"/>
      <c r="Y132" s="180"/>
      <c r="Z132" s="180"/>
      <c r="AA132" s="180"/>
    </row>
    <row r="133" ht="15.75" customHeight="1">
      <c r="A133" s="180"/>
      <c r="B133" s="180"/>
      <c r="C133" s="180"/>
      <c r="D133" s="180"/>
      <c r="E133" s="180"/>
      <c r="F133" s="180"/>
      <c r="G133" s="472"/>
      <c r="H133" s="472"/>
      <c r="I133" s="431"/>
      <c r="J133" s="180"/>
      <c r="K133" s="180"/>
      <c r="L133" s="180"/>
      <c r="M133" s="180"/>
      <c r="N133" s="180"/>
      <c r="O133" s="180"/>
      <c r="P133" s="180"/>
      <c r="Q133" s="180"/>
      <c r="R133" s="180"/>
      <c r="S133" s="180"/>
      <c r="T133" s="180"/>
      <c r="U133" s="180"/>
      <c r="V133" s="180"/>
      <c r="W133" s="180"/>
      <c r="X133" s="180"/>
      <c r="Y133" s="180"/>
      <c r="Z133" s="180"/>
      <c r="AA133" s="180"/>
    </row>
    <row r="134" ht="15.75" customHeight="1">
      <c r="A134" s="180"/>
      <c r="B134" s="180"/>
      <c r="C134" s="180"/>
      <c r="D134" s="180"/>
      <c r="E134" s="180"/>
      <c r="F134" s="180"/>
      <c r="G134" s="472"/>
      <c r="H134" s="472"/>
      <c r="I134" s="431"/>
      <c r="J134" s="180"/>
      <c r="K134" s="180"/>
      <c r="L134" s="180"/>
      <c r="M134" s="180"/>
      <c r="N134" s="180"/>
      <c r="O134" s="180"/>
      <c r="P134" s="180"/>
      <c r="Q134" s="180"/>
      <c r="R134" s="180"/>
      <c r="S134" s="180"/>
      <c r="T134" s="180"/>
      <c r="U134" s="180"/>
      <c r="V134" s="180"/>
      <c r="W134" s="180"/>
      <c r="X134" s="180"/>
      <c r="Y134" s="180"/>
      <c r="Z134" s="180"/>
      <c r="AA134" s="180"/>
    </row>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sheetData>
  <conditionalFormatting sqref="D11 D32 D35:D55 D63:D90 G89 I89:J89 D92">
    <cfRule type="cellIs" dxfId="4" priority="1" operator="greaterThan">
      <formula>0</formula>
    </cfRule>
  </conditionalFormatting>
  <conditionalFormatting sqref="D11 D32 D35:D55 D63:D90 J75 J78:J81 J88:J90 G89 I89 D92">
    <cfRule type="cellIs" dxfId="5" priority="2" operator="lessThan">
      <formula>0</formula>
    </cfRule>
  </conditionalFormatting>
  <conditionalFormatting sqref="D4:D10 D13:D31 D35:D53 D56:D63 D67:D80 D82:D87">
    <cfRule type="cellIs" dxfId="4" priority="3" operator="greaterThan">
      <formula>0</formula>
    </cfRule>
  </conditionalFormatting>
  <conditionalFormatting sqref="D8">
    <cfRule type="cellIs" dxfId="5" priority="4" operator="lessThan">
      <formula>0</formula>
    </cfRule>
  </conditionalFormatting>
  <conditionalFormatting sqref="D8">
    <cfRule type="cellIs" dxfId="4" priority="5" operator="greaterThan">
      <formula>0</formula>
    </cfRule>
  </conditionalFormatting>
  <conditionalFormatting sqref="D4:D10 D13:D31 D35:D53 D56:D63 D67:D80 D82:D87">
    <cfRule type="cellIs" dxfId="5" priority="6" operator="lessThan">
      <formula>0</formula>
    </cfRule>
  </conditionalFormatting>
  <conditionalFormatting sqref="D4:D6 D9:D11 D13:D32 D35:D54 D56:D64 D67:D88 D90">
    <cfRule type="cellIs" dxfId="6" priority="7" operator="greaterThan">
      <formula>0</formula>
    </cfRule>
  </conditionalFormatting>
  <conditionalFormatting sqref="D4:D6 D9:D11 D13:D32 D35:D54 D56:D64 D67:D80 D82:D87">
    <cfRule type="cellIs" dxfId="5" priority="8" operator="lessThan">
      <formula>0</formula>
    </cfRule>
  </conditionalFormatting>
  <conditionalFormatting sqref="D56:D63 D67:D80 D82:D87">
    <cfRule type="cellIs" dxfId="4" priority="9" operator="greaterThan">
      <formula>0</formula>
    </cfRule>
  </conditionalFormatting>
  <conditionalFormatting sqref="D56:D63 D67:D80 D82:D87">
    <cfRule type="cellIs" dxfId="5" priority="10" operator="lessThan">
      <formula>0</formula>
    </cfRule>
  </conditionalFormatting>
  <conditionalFormatting sqref="J35:J53 J75 J78:J82 J86 J88 J90">
    <cfRule type="cellIs" dxfId="7" priority="11" operator="greaterThan">
      <formula>0</formula>
    </cfRule>
  </conditionalFormatting>
  <conditionalFormatting sqref="J35:J53 J80 J82 J86">
    <cfRule type="cellIs" dxfId="8" priority="12" operator="lessThan">
      <formula>0</formula>
    </cfRule>
  </conditionalFormatting>
  <conditionalFormatting sqref="J4:J10 J67:J80 J82:J87">
    <cfRule type="cellIs" dxfId="7" priority="13" operator="greaterThan">
      <formula>0</formula>
    </cfRule>
  </conditionalFormatting>
  <conditionalFormatting sqref="J4:J10 J67:J80 J82:J87">
    <cfRule type="cellIs" dxfId="8" priority="14" operator="lessThan">
      <formula>0</formula>
    </cfRule>
  </conditionalFormatting>
  <conditionalFormatting sqref="J56:J63 J67:J80 J82:J87">
    <cfRule type="cellIs" dxfId="7" priority="15" operator="greaterThan">
      <formula>0</formula>
    </cfRule>
  </conditionalFormatting>
  <conditionalFormatting sqref="J56:J63 J67:J80 J82:J87">
    <cfRule type="cellIs" dxfId="5" priority="16" operator="lessThan">
      <formula>0</formula>
    </cfRule>
  </conditionalFormatting>
  <conditionalFormatting sqref="J13:J31">
    <cfRule type="cellIs" dxfId="7" priority="17" operator="greaterThan">
      <formula>0</formula>
    </cfRule>
  </conditionalFormatting>
  <conditionalFormatting sqref="J13:J31">
    <cfRule type="cellIs" dxfId="5" priority="18" operator="lessThan">
      <formula>0</formula>
    </cfRule>
  </conditionalFormatting>
  <hyperlinks>
    <hyperlink r:id="rId1" ref="A4"/>
    <hyperlink r:id="rId2" ref="A5"/>
    <hyperlink r:id="rId3" ref="C5"/>
    <hyperlink r:id="rId4" ref="A6"/>
    <hyperlink r:id="rId5" ref="A7"/>
    <hyperlink r:id="rId6" ref="A8"/>
    <hyperlink r:id="rId7" ref="A9"/>
    <hyperlink r:id="rId8" ref="A10"/>
    <hyperlink r:id="rId9" ref="A13"/>
    <hyperlink r:id="rId10" ref="A14"/>
    <hyperlink r:id="rId11" ref="A15"/>
    <hyperlink r:id="rId12" ref="A16"/>
    <hyperlink r:id="rId13" ref="A17"/>
    <hyperlink r:id="rId14" ref="A18"/>
    <hyperlink r:id="rId15" ref="A19"/>
    <hyperlink r:id="rId16" ref="A20"/>
    <hyperlink r:id="rId17" ref="A21"/>
    <hyperlink r:id="rId18" ref="A22"/>
    <hyperlink r:id="rId19" ref="A23"/>
    <hyperlink r:id="rId20" ref="A24"/>
    <hyperlink r:id="rId21" ref="A25"/>
    <hyperlink r:id="rId22" ref="A26"/>
    <hyperlink r:id="rId23" ref="A27"/>
    <hyperlink r:id="rId24" ref="A28"/>
    <hyperlink r:id="rId25" ref="A29"/>
    <hyperlink r:id="rId26" ref="A30"/>
    <hyperlink r:id="rId27" ref="A31"/>
    <hyperlink r:id="rId28" ref="A35"/>
    <hyperlink r:id="rId29" ref="A36"/>
    <hyperlink r:id="rId30" ref="A37"/>
    <hyperlink r:id="rId31" ref="C37"/>
    <hyperlink r:id="rId32" ref="A38"/>
    <hyperlink r:id="rId33" ref="C38"/>
    <hyperlink r:id="rId34" ref="A39"/>
    <hyperlink r:id="rId35" ref="C39"/>
    <hyperlink r:id="rId36" ref="A40"/>
    <hyperlink r:id="rId37" ref="C40"/>
    <hyperlink r:id="rId38" ref="A41"/>
    <hyperlink r:id="rId39" ref="C41"/>
    <hyperlink r:id="rId40" ref="A42"/>
    <hyperlink r:id="rId41" ref="C42"/>
    <hyperlink r:id="rId42" ref="A43"/>
    <hyperlink r:id="rId43" ref="C43"/>
    <hyperlink r:id="rId44" ref="A44"/>
    <hyperlink r:id="rId45" ref="C44"/>
    <hyperlink r:id="rId46" ref="A45"/>
    <hyperlink r:id="rId47" ref="A46"/>
    <hyperlink r:id="rId48" ref="C46"/>
    <hyperlink r:id="rId49" ref="A47"/>
    <hyperlink r:id="rId50" ref="C47"/>
    <hyperlink r:id="rId51" ref="A48"/>
    <hyperlink r:id="rId52" ref="C48"/>
    <hyperlink r:id="rId53" ref="A49"/>
    <hyperlink r:id="rId54" ref="C49"/>
    <hyperlink r:id="rId55" ref="A50"/>
    <hyperlink r:id="rId56" ref="A51"/>
    <hyperlink r:id="rId57" ref="A52"/>
    <hyperlink r:id="rId58" ref="C52"/>
    <hyperlink r:id="rId59" ref="A53"/>
    <hyperlink r:id="rId60" ref="C53"/>
    <hyperlink r:id="rId61" ref="A56"/>
    <hyperlink r:id="rId62" ref="A57"/>
    <hyperlink r:id="rId63" ref="A58"/>
    <hyperlink r:id="rId64" ref="A59"/>
    <hyperlink r:id="rId65" ref="A60"/>
    <hyperlink r:id="rId66" ref="A61"/>
    <hyperlink r:id="rId67" ref="A62"/>
    <hyperlink r:id="rId68" ref="C62"/>
    <hyperlink r:id="rId69" ref="A63"/>
    <hyperlink r:id="rId70" ref="A67"/>
    <hyperlink r:id="rId71" ref="A68"/>
    <hyperlink r:id="rId72" ref="A69"/>
    <hyperlink r:id="rId73" ref="A70"/>
    <hyperlink r:id="rId74" ref="C70"/>
    <hyperlink r:id="rId75" ref="A71"/>
    <hyperlink r:id="rId76" ref="A72"/>
    <hyperlink r:id="rId77" ref="C72"/>
    <hyperlink r:id="rId78" ref="A73"/>
    <hyperlink r:id="rId79" ref="A74"/>
    <hyperlink r:id="rId80" ref="C74"/>
    <hyperlink r:id="rId81" ref="A75"/>
    <hyperlink r:id="rId82" ref="A78"/>
    <hyperlink r:id="rId83" ref="A79"/>
    <hyperlink r:id="rId84" ref="A80"/>
    <hyperlink r:id="rId85" ref="C80"/>
    <hyperlink r:id="rId86" ref="A81"/>
    <hyperlink r:id="rId87" ref="A82"/>
    <hyperlink r:id="rId88" ref="A83"/>
    <hyperlink r:id="rId89" ref="A84"/>
    <hyperlink r:id="rId90" ref="A85"/>
    <hyperlink r:id="rId91" ref="A86"/>
    <hyperlink r:id="rId92" ref="A87"/>
    <hyperlink r:id="rId93" ref="A88"/>
    <hyperlink r:id="rId94" ref="A117"/>
  </hyperlinks>
  <drawing r:id="rId9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7.63"/>
    <col customWidth="1" min="2" max="2" width="9.38"/>
    <col customWidth="1" min="3" max="3" width="12.25"/>
    <col customWidth="1" min="4" max="4" width="9.25"/>
    <col customWidth="1" min="5" max="5" width="12.38"/>
    <col customWidth="1" min="6" max="6" width="14.25"/>
    <col customWidth="1" min="7" max="7" width="14.88"/>
    <col customWidth="1" min="8" max="9" width="13.13"/>
    <col customWidth="1" min="10" max="10" width="14.75"/>
    <col customWidth="1" min="11" max="11" width="13.88"/>
    <col customWidth="1" min="12" max="12" width="18.75"/>
    <col customWidth="1" min="13" max="13" width="23.25"/>
    <col customWidth="1" min="15" max="15" width="19.25"/>
    <col customWidth="1" min="16" max="16" width="15.63"/>
  </cols>
  <sheetData>
    <row r="1" ht="30.75" customHeight="1">
      <c r="A1" s="601" t="s">
        <v>621</v>
      </c>
      <c r="B1" s="25"/>
      <c r="C1" s="25"/>
      <c r="D1" s="173"/>
      <c r="E1" s="173"/>
      <c r="F1" s="328"/>
      <c r="G1" s="328"/>
      <c r="H1" s="602"/>
      <c r="I1" s="328"/>
      <c r="J1" s="173"/>
      <c r="K1" s="173"/>
    </row>
    <row r="2" ht="10.5" customHeight="1">
      <c r="A2" s="25"/>
      <c r="B2" s="25"/>
      <c r="C2" s="25"/>
      <c r="D2" s="173"/>
      <c r="E2" s="173"/>
      <c r="F2" s="328"/>
      <c r="G2" s="328"/>
      <c r="H2" s="602"/>
      <c r="I2" s="328"/>
      <c r="J2" s="173"/>
      <c r="K2" s="173"/>
    </row>
    <row r="3" ht="15.75" customHeight="1">
      <c r="A3" s="53" t="s">
        <v>434</v>
      </c>
      <c r="B3" s="53" t="s">
        <v>435</v>
      </c>
      <c r="C3" s="53" t="s">
        <v>56</v>
      </c>
      <c r="D3" s="53" t="s">
        <v>622</v>
      </c>
      <c r="E3" s="53" t="s">
        <v>472</v>
      </c>
      <c r="F3" s="328" t="s">
        <v>299</v>
      </c>
      <c r="G3" s="603" t="s">
        <v>264</v>
      </c>
      <c r="H3" s="604" t="s">
        <v>623</v>
      </c>
      <c r="I3" s="603" t="s">
        <v>473</v>
      </c>
      <c r="J3" s="53" t="s">
        <v>274</v>
      </c>
      <c r="K3" s="173" t="s">
        <v>474</v>
      </c>
      <c r="L3" s="173" t="s">
        <v>471</v>
      </c>
      <c r="M3" s="173" t="s">
        <v>192</v>
      </c>
      <c r="N3" s="294"/>
      <c r="O3" s="173"/>
      <c r="P3" s="294"/>
      <c r="Q3" s="294"/>
      <c r="R3" s="294"/>
      <c r="S3" s="294"/>
      <c r="T3" s="294"/>
      <c r="U3" s="294"/>
      <c r="V3" s="294"/>
      <c r="W3" s="294"/>
      <c r="X3" s="294"/>
      <c r="Y3" s="294"/>
      <c r="Z3" s="294"/>
      <c r="AA3" s="294"/>
      <c r="AB3" s="294"/>
      <c r="AC3" s="294"/>
      <c r="AD3" s="294"/>
      <c r="AE3" s="294"/>
      <c r="AF3" s="294"/>
      <c r="AG3" s="294"/>
    </row>
    <row r="4" ht="15.75" customHeight="1">
      <c r="A4" s="605" t="s">
        <v>448</v>
      </c>
      <c r="B4" s="403" t="s">
        <v>449</v>
      </c>
      <c r="C4" s="404" t="s">
        <v>480</v>
      </c>
      <c r="D4" s="606" t="s">
        <v>624</v>
      </c>
      <c r="E4" s="405">
        <v>4.378</v>
      </c>
      <c r="F4" s="406">
        <v>18326.71</v>
      </c>
      <c r="G4" s="416">
        <f t="shared" ref="G4:G5" si="1">E4*F4</f>
        <v>80234.33638</v>
      </c>
      <c r="H4" s="607" t="str">
        <f t="shared" ref="H4:H5" si="2">GECKOPRICE(B4, "USD")</f>
        <v>#NAME?</v>
      </c>
      <c r="I4" s="337" t="str">
        <f>IFERROR(__xludf.DUMMYFUNCTION("IMPORTXML(A4,""//*[@id='__next']/div/div[2]/div/div[1]/div[2]/div[2]/div[1]/div"")"),"#N/A")</f>
        <v>#N/A</v>
      </c>
      <c r="J4" s="389" t="str">
        <f t="shared" ref="J4:J5" si="3">I4 * E4</f>
        <v>#N/A</v>
      </c>
      <c r="K4" s="404" t="str">
        <f t="shared" ref="K4:K5" si="4">J4-(E4*F4)</f>
        <v>#N/A</v>
      </c>
      <c r="L4" s="608" t="str">
        <f t="shared" ref="L4:L5" si="5">(J4-G4)/G4</f>
        <v>#N/A</v>
      </c>
    </row>
    <row r="5" ht="15.75" customHeight="1">
      <c r="A5" s="605" t="s">
        <v>452</v>
      </c>
      <c r="B5" s="403" t="s">
        <v>453</v>
      </c>
      <c r="C5" s="403" t="s">
        <v>454</v>
      </c>
      <c r="D5" s="606" t="s">
        <v>624</v>
      </c>
      <c r="E5" s="408">
        <v>10.0</v>
      </c>
      <c r="F5" s="406">
        <v>564.52</v>
      </c>
      <c r="G5" s="416">
        <f t="shared" si="1"/>
        <v>5645.2</v>
      </c>
      <c r="H5" s="607" t="str">
        <f t="shared" si="2"/>
        <v>#NAME?</v>
      </c>
      <c r="I5" s="337" t="str">
        <f>IFERROR(__xludf.DUMMYFUNCTION("IMPORTXML(A5,""//*[@id='__next']/div/div[2]/div/div[1]/div[2]/div[2]/div[1]/div"")"),"#N/A")</f>
        <v>#N/A</v>
      </c>
      <c r="J5" s="389" t="str">
        <f t="shared" si="3"/>
        <v>#N/A</v>
      </c>
      <c r="K5" s="404" t="str">
        <f t="shared" si="4"/>
        <v>#N/A</v>
      </c>
      <c r="L5" s="608" t="str">
        <f t="shared" si="5"/>
        <v>#N/A</v>
      </c>
      <c r="M5" s="180"/>
      <c r="O5" s="180"/>
      <c r="P5" s="180"/>
      <c r="Q5" s="180"/>
      <c r="R5" s="180"/>
      <c r="S5" s="180"/>
      <c r="T5" s="180"/>
      <c r="U5" s="180"/>
      <c r="V5" s="180"/>
      <c r="W5" s="180"/>
      <c r="X5" s="180"/>
      <c r="Y5" s="180"/>
      <c r="Z5" s="180"/>
      <c r="AA5" s="180"/>
    </row>
    <row r="6" ht="15.75" customHeight="1">
      <c r="A6" s="605"/>
      <c r="B6" s="403"/>
      <c r="C6" s="403"/>
      <c r="D6" s="606"/>
      <c r="E6" s="408"/>
      <c r="F6" s="609"/>
      <c r="G6" s="416"/>
      <c r="H6" s="607"/>
      <c r="I6" s="337"/>
      <c r="J6" s="610"/>
      <c r="K6" s="237"/>
      <c r="L6" s="608"/>
      <c r="M6" s="180"/>
      <c r="O6" s="180"/>
      <c r="P6" s="180"/>
      <c r="Q6" s="180"/>
      <c r="R6" s="180"/>
      <c r="S6" s="180"/>
      <c r="T6" s="180"/>
      <c r="U6" s="180"/>
      <c r="V6" s="180"/>
      <c r="W6" s="180"/>
      <c r="X6" s="180"/>
      <c r="Y6" s="180"/>
      <c r="Z6" s="180"/>
      <c r="AA6" s="180"/>
    </row>
    <row r="7" ht="15.75" customHeight="1">
      <c r="A7" s="605"/>
      <c r="B7" s="479"/>
      <c r="C7" s="479"/>
      <c r="D7" s="606"/>
      <c r="E7" s="611"/>
      <c r="F7" s="376"/>
      <c r="G7" s="416"/>
      <c r="H7" s="607"/>
      <c r="I7" s="337"/>
      <c r="J7" s="389"/>
      <c r="K7" s="404"/>
      <c r="L7" s="608"/>
      <c r="M7" s="180"/>
      <c r="O7" s="180"/>
      <c r="P7" s="180"/>
      <c r="Q7" s="180"/>
      <c r="R7" s="180"/>
      <c r="S7" s="180"/>
      <c r="T7" s="180"/>
      <c r="U7" s="180"/>
      <c r="V7" s="180"/>
      <c r="W7" s="180"/>
      <c r="X7" s="180"/>
      <c r="Y7" s="180"/>
      <c r="Z7" s="180"/>
      <c r="AA7" s="180"/>
    </row>
    <row r="8" ht="15.75" customHeight="1">
      <c r="A8" s="605"/>
      <c r="B8" s="180"/>
      <c r="C8" s="180"/>
      <c r="D8" s="606"/>
      <c r="E8" s="408"/>
      <c r="F8" s="612"/>
      <c r="G8" s="416"/>
      <c r="H8" s="607"/>
      <c r="I8" s="337"/>
      <c r="J8" s="389"/>
      <c r="K8" s="404"/>
      <c r="L8" s="608"/>
      <c r="M8" s="180"/>
      <c r="O8" s="180"/>
      <c r="P8" s="180"/>
      <c r="Q8" s="180"/>
      <c r="R8" s="180"/>
      <c r="S8" s="180"/>
      <c r="T8" s="180"/>
      <c r="U8" s="180"/>
      <c r="V8" s="180"/>
      <c r="W8" s="180"/>
      <c r="X8" s="180"/>
      <c r="Y8" s="180"/>
      <c r="Z8" s="180"/>
      <c r="AA8" s="180"/>
      <c r="AB8" s="180"/>
    </row>
    <row r="9" ht="15.75" customHeight="1">
      <c r="A9" s="605"/>
      <c r="B9" s="180"/>
      <c r="C9" s="180"/>
      <c r="D9" s="606"/>
      <c r="E9" s="408"/>
      <c r="F9" s="612"/>
      <c r="G9" s="416"/>
      <c r="H9" s="607"/>
      <c r="I9" s="337"/>
      <c r="J9" s="389"/>
      <c r="K9" s="404"/>
      <c r="L9" s="608"/>
      <c r="M9" s="180"/>
      <c r="O9" s="180"/>
      <c r="P9" s="180"/>
      <c r="Q9" s="180"/>
      <c r="R9" s="180"/>
      <c r="S9" s="180"/>
      <c r="T9" s="180"/>
      <c r="U9" s="180"/>
      <c r="V9" s="180"/>
      <c r="W9" s="180"/>
      <c r="X9" s="180"/>
      <c r="Y9" s="180"/>
      <c r="Z9" s="180"/>
      <c r="AA9" s="180"/>
      <c r="AB9" s="180"/>
    </row>
    <row r="10" ht="15.75" customHeight="1">
      <c r="A10" s="605"/>
      <c r="B10" s="479"/>
      <c r="C10" s="613"/>
      <c r="D10" s="606"/>
      <c r="E10" s="614"/>
      <c r="F10" s="612"/>
      <c r="G10" s="416"/>
      <c r="H10" s="607"/>
      <c r="I10" s="337"/>
      <c r="J10" s="389"/>
      <c r="K10" s="404"/>
      <c r="L10" s="608"/>
      <c r="M10" s="180"/>
      <c r="O10" s="180"/>
      <c r="P10" s="180"/>
      <c r="Q10" s="180"/>
      <c r="R10" s="180"/>
      <c r="S10" s="180"/>
      <c r="T10" s="180"/>
      <c r="U10" s="180"/>
      <c r="V10" s="180"/>
      <c r="W10" s="180"/>
      <c r="X10" s="180"/>
      <c r="Y10" s="180"/>
      <c r="Z10" s="180"/>
      <c r="AA10" s="180"/>
      <c r="AB10" s="180"/>
    </row>
    <row r="11" ht="15.75" customHeight="1">
      <c r="A11" s="605"/>
      <c r="B11" s="479"/>
      <c r="C11" s="613"/>
      <c r="D11" s="606"/>
      <c r="E11" s="615"/>
      <c r="F11" s="612"/>
      <c r="G11" s="416"/>
      <c r="H11" s="607"/>
      <c r="I11" s="337"/>
      <c r="J11" s="389"/>
      <c r="K11" s="404"/>
      <c r="L11" s="608"/>
      <c r="M11" s="180"/>
      <c r="O11" s="389"/>
      <c r="P11" s="390"/>
      <c r="Q11" s="391"/>
      <c r="R11" s="389"/>
      <c r="S11" s="180"/>
      <c r="T11" s="180"/>
      <c r="U11" s="180"/>
      <c r="V11" s="180"/>
      <c r="W11" s="180"/>
      <c r="X11" s="180"/>
      <c r="Y11" s="180"/>
      <c r="Z11" s="180"/>
      <c r="AA11" s="180"/>
      <c r="AB11" s="180"/>
    </row>
    <row r="12" ht="15.75" customHeight="1">
      <c r="A12" s="221"/>
      <c r="C12" s="180"/>
      <c r="D12" s="180"/>
      <c r="E12" s="180"/>
      <c r="F12" s="38"/>
      <c r="G12" s="616"/>
      <c r="H12" s="617"/>
      <c r="I12" s="38"/>
      <c r="J12" s="618"/>
      <c r="K12" s="618"/>
      <c r="L12" s="619"/>
      <c r="M12" s="180"/>
      <c r="N12" s="180"/>
      <c r="O12" s="180"/>
      <c r="P12" s="180"/>
      <c r="Q12" s="180"/>
      <c r="R12" s="180"/>
      <c r="S12" s="180"/>
      <c r="T12" s="180"/>
      <c r="U12" s="180"/>
      <c r="V12" s="180"/>
      <c r="W12" s="180"/>
      <c r="X12" s="180"/>
      <c r="Y12" s="180"/>
      <c r="Z12" s="180"/>
      <c r="AA12" s="180"/>
      <c r="AB12" s="180"/>
    </row>
    <row r="13" ht="15.75" customHeight="1">
      <c r="A13" s="221"/>
      <c r="C13" s="180"/>
      <c r="D13" s="180"/>
      <c r="E13" s="180"/>
      <c r="F13" s="38"/>
      <c r="G13" s="38"/>
      <c r="H13" s="617"/>
      <c r="I13" s="38"/>
      <c r="J13" s="442"/>
      <c r="M13" s="180"/>
      <c r="N13" s="180"/>
      <c r="O13" s="180"/>
      <c r="P13" s="180"/>
      <c r="Q13" s="180"/>
      <c r="R13" s="180"/>
      <c r="S13" s="180"/>
      <c r="T13" s="180"/>
      <c r="U13" s="180"/>
      <c r="V13" s="180"/>
      <c r="W13" s="180"/>
      <c r="X13" s="180"/>
      <c r="Y13" s="180"/>
      <c r="Z13" s="180"/>
      <c r="AA13" s="180"/>
      <c r="AB13" s="180"/>
    </row>
    <row r="14" ht="15.75" customHeight="1">
      <c r="A14" s="195"/>
      <c r="C14" s="620"/>
      <c r="D14" s="606"/>
      <c r="E14" s="216"/>
      <c r="F14" s="621"/>
      <c r="G14" s="622"/>
      <c r="H14" s="607"/>
      <c r="I14" s="623"/>
      <c r="J14" s="389"/>
      <c r="K14" s="404"/>
      <c r="M14" s="180"/>
      <c r="N14" s="180"/>
      <c r="O14" s="180"/>
      <c r="P14" s="180"/>
      <c r="Q14" s="180"/>
      <c r="R14" s="180"/>
      <c r="S14" s="180"/>
      <c r="T14" s="180"/>
      <c r="U14" s="180"/>
      <c r="V14" s="180"/>
      <c r="W14" s="180"/>
      <c r="X14" s="180"/>
      <c r="Y14" s="180"/>
      <c r="Z14" s="180"/>
      <c r="AA14" s="180"/>
      <c r="AB14" s="180"/>
    </row>
    <row r="15" ht="15.75" customHeight="1">
      <c r="A15" s="339"/>
      <c r="C15" s="620"/>
      <c r="D15" s="606"/>
      <c r="E15" s="180"/>
      <c r="F15" s="624"/>
      <c r="G15" s="624"/>
      <c r="H15" s="607"/>
      <c r="I15" s="623"/>
      <c r="J15" s="389"/>
      <c r="K15" s="404"/>
      <c r="M15" s="180"/>
      <c r="N15" s="180"/>
      <c r="O15" s="180"/>
      <c r="P15" s="180"/>
      <c r="Q15" s="180"/>
      <c r="R15" s="180"/>
      <c r="S15" s="180"/>
      <c r="T15" s="180"/>
      <c r="U15" s="180"/>
      <c r="V15" s="180"/>
      <c r="W15" s="180"/>
      <c r="X15" s="180"/>
      <c r="Y15" s="180"/>
      <c r="Z15" s="180"/>
      <c r="AA15" s="180"/>
      <c r="AB15" s="180"/>
    </row>
    <row r="16" ht="15.75" customHeight="1">
      <c r="A16" s="625"/>
      <c r="B16" s="60"/>
      <c r="C16" s="5"/>
      <c r="D16" s="606"/>
      <c r="E16" s="180"/>
      <c r="F16" s="624"/>
      <c r="G16" s="624"/>
      <c r="H16" s="607"/>
      <c r="I16" s="623"/>
      <c r="J16" s="389"/>
      <c r="K16" s="404"/>
      <c r="M16" s="180"/>
      <c r="N16" s="180"/>
      <c r="O16" s="180"/>
      <c r="P16" s="180"/>
      <c r="Q16" s="180"/>
      <c r="R16" s="180"/>
      <c r="S16" s="180"/>
      <c r="T16" s="180"/>
      <c r="U16" s="180"/>
      <c r="V16" s="180"/>
      <c r="W16" s="180"/>
      <c r="X16" s="180"/>
      <c r="Y16" s="180"/>
      <c r="Z16" s="180"/>
      <c r="AA16" s="180"/>
      <c r="AB16" s="180"/>
    </row>
    <row r="17" ht="15.75" customHeight="1">
      <c r="A17" s="339"/>
      <c r="B17" s="333"/>
      <c r="C17" s="613"/>
      <c r="D17" s="606"/>
      <c r="E17" s="180"/>
      <c r="F17" s="624"/>
      <c r="G17" s="624"/>
      <c r="H17" s="607"/>
      <c r="I17" s="623"/>
      <c r="J17" s="389"/>
      <c r="K17" s="404"/>
      <c r="M17" s="180"/>
      <c r="N17" s="180"/>
      <c r="O17" s="180"/>
      <c r="P17" s="180"/>
      <c r="Q17" s="180"/>
      <c r="R17" s="180"/>
      <c r="S17" s="180"/>
      <c r="T17" s="180"/>
      <c r="U17" s="180"/>
      <c r="V17" s="180"/>
      <c r="W17" s="180"/>
      <c r="X17" s="180"/>
      <c r="Y17" s="180"/>
      <c r="Z17" s="180"/>
      <c r="AA17" s="180"/>
      <c r="AB17" s="180"/>
    </row>
    <row r="18" ht="15.75" customHeight="1">
      <c r="A18" s="626"/>
      <c r="C18" s="627"/>
      <c r="D18" s="606"/>
      <c r="E18" s="180"/>
      <c r="F18" s="624"/>
      <c r="G18" s="624"/>
      <c r="H18" s="607"/>
      <c r="I18" s="623"/>
      <c r="J18" s="389"/>
      <c r="K18" s="404"/>
      <c r="M18" s="180"/>
      <c r="N18" s="180"/>
      <c r="O18" s="180"/>
      <c r="P18" s="180"/>
      <c r="Q18" s="180"/>
      <c r="R18" s="180"/>
      <c r="S18" s="180"/>
      <c r="T18" s="180"/>
      <c r="U18" s="180"/>
      <c r="V18" s="180"/>
      <c r="W18" s="180"/>
      <c r="X18" s="180"/>
      <c r="Y18" s="180"/>
      <c r="Z18" s="180"/>
      <c r="AA18" s="180"/>
      <c r="AB18" s="180"/>
    </row>
    <row r="19" ht="15.75" customHeight="1">
      <c r="A19" s="626"/>
      <c r="C19" s="627"/>
      <c r="D19" s="606"/>
      <c r="E19" s="180"/>
      <c r="F19" s="624"/>
      <c r="G19" s="624"/>
      <c r="H19" s="607"/>
      <c r="I19" s="623"/>
      <c r="J19" s="389"/>
      <c r="K19" s="404"/>
      <c r="M19" s="180"/>
      <c r="N19" s="180"/>
      <c r="O19" s="180"/>
      <c r="P19" s="180"/>
      <c r="Q19" s="180"/>
      <c r="R19" s="180"/>
      <c r="S19" s="180"/>
      <c r="T19" s="180"/>
      <c r="U19" s="180"/>
      <c r="V19" s="180"/>
      <c r="W19" s="180"/>
      <c r="X19" s="180"/>
      <c r="Y19" s="180"/>
      <c r="Z19" s="180"/>
      <c r="AA19" s="180"/>
      <c r="AB19" s="180"/>
    </row>
    <row r="20" ht="15.75" customHeight="1">
      <c r="A20" s="628"/>
      <c r="C20" s="180"/>
      <c r="D20" s="606"/>
      <c r="E20" s="180"/>
      <c r="F20" s="624"/>
      <c r="G20" s="624"/>
      <c r="H20" s="607"/>
      <c r="I20" s="623"/>
      <c r="J20" s="389"/>
      <c r="K20" s="404"/>
      <c r="M20" s="180"/>
      <c r="N20" s="180"/>
      <c r="O20" s="180"/>
      <c r="P20" s="180"/>
      <c r="Q20" s="180"/>
      <c r="R20" s="180"/>
      <c r="S20" s="180"/>
      <c r="T20" s="180"/>
      <c r="U20" s="180"/>
      <c r="V20" s="180"/>
      <c r="W20" s="180"/>
      <c r="X20" s="180"/>
      <c r="Y20" s="180"/>
      <c r="Z20" s="180"/>
      <c r="AA20" s="180"/>
      <c r="AB20" s="180"/>
    </row>
    <row r="21" ht="15.75" customHeight="1">
      <c r="A21" s="339"/>
      <c r="C21" s="180"/>
      <c r="D21" s="180"/>
      <c r="E21" s="180"/>
      <c r="F21" s="38"/>
      <c r="G21" s="38"/>
      <c r="H21" s="617"/>
      <c r="I21" s="38"/>
      <c r="J21" s="629"/>
      <c r="K21" s="629"/>
      <c r="M21" s="180"/>
      <c r="N21" s="180"/>
      <c r="O21" s="180"/>
      <c r="P21" s="180"/>
      <c r="Q21" s="180"/>
      <c r="R21" s="180"/>
      <c r="S21" s="180"/>
      <c r="T21" s="180"/>
      <c r="U21" s="180"/>
      <c r="V21" s="180"/>
      <c r="W21" s="180"/>
      <c r="X21" s="180"/>
      <c r="Y21" s="180"/>
      <c r="Z21" s="180"/>
      <c r="AA21" s="180"/>
      <c r="AB21" s="180"/>
    </row>
    <row r="22" ht="15.75" customHeight="1">
      <c r="A22" s="630"/>
      <c r="C22" s="180"/>
      <c r="D22" s="180"/>
      <c r="E22" s="180"/>
      <c r="F22" s="603"/>
      <c r="G22" s="603"/>
      <c r="H22" s="617"/>
      <c r="I22" s="38"/>
      <c r="J22" s="631"/>
      <c r="K22" s="631"/>
      <c r="M22" s="180"/>
      <c r="N22" s="180"/>
      <c r="O22" s="180"/>
      <c r="P22" s="180"/>
      <c r="Q22" s="180"/>
      <c r="R22" s="180"/>
      <c r="S22" s="180"/>
      <c r="T22" s="180"/>
      <c r="U22" s="180"/>
      <c r="V22" s="180"/>
      <c r="W22" s="180"/>
      <c r="X22" s="180"/>
      <c r="Y22" s="180"/>
      <c r="Z22" s="180"/>
      <c r="AA22" s="180"/>
      <c r="AB22" s="180"/>
    </row>
    <row r="23" ht="15.75" customHeight="1">
      <c r="A23" s="630"/>
      <c r="C23" s="180"/>
      <c r="D23" s="180"/>
      <c r="E23" s="178"/>
      <c r="F23" s="51"/>
      <c r="G23" s="603"/>
      <c r="H23" s="617"/>
      <c r="I23" s="38"/>
      <c r="J23" s="631"/>
      <c r="K23" s="631"/>
      <c r="M23" s="180"/>
      <c r="N23" s="180"/>
      <c r="O23" s="180"/>
      <c r="P23" s="180"/>
      <c r="Q23" s="180"/>
      <c r="R23" s="180"/>
      <c r="S23" s="180"/>
      <c r="T23" s="180"/>
      <c r="U23" s="180"/>
      <c r="V23" s="180"/>
      <c r="W23" s="180"/>
      <c r="X23" s="180"/>
      <c r="Y23" s="180"/>
      <c r="Z23" s="180"/>
      <c r="AA23" s="180"/>
      <c r="AB23" s="180"/>
    </row>
    <row r="24" ht="15.75" customHeight="1">
      <c r="A24" s="339"/>
      <c r="C24" s="180"/>
      <c r="D24" s="180"/>
      <c r="E24" s="180"/>
      <c r="F24" s="38"/>
      <c r="G24" s="38"/>
      <c r="H24" s="617"/>
      <c r="I24" s="38"/>
      <c r="J24" s="439"/>
      <c r="M24" s="180"/>
      <c r="N24" s="180"/>
      <c r="O24" s="180"/>
      <c r="P24" s="180"/>
      <c r="Q24" s="180"/>
      <c r="R24" s="180"/>
      <c r="S24" s="180"/>
      <c r="T24" s="180"/>
      <c r="U24" s="180"/>
      <c r="V24" s="180"/>
      <c r="W24" s="180"/>
      <c r="X24" s="180"/>
      <c r="Y24" s="180"/>
      <c r="Z24" s="180"/>
      <c r="AA24" s="180"/>
      <c r="AB24" s="180"/>
    </row>
    <row r="25" ht="15.75" customHeight="1">
      <c r="A25" s="630"/>
      <c r="C25" s="180"/>
      <c r="D25" s="180"/>
      <c r="E25" s="180"/>
      <c r="F25" s="38"/>
      <c r="G25" s="38"/>
      <c r="H25" s="617"/>
      <c r="I25" s="38"/>
      <c r="J25" s="439"/>
      <c r="M25" s="180"/>
      <c r="N25" s="180"/>
      <c r="O25" s="180"/>
      <c r="P25" s="180"/>
      <c r="Q25" s="180"/>
      <c r="R25" s="180"/>
      <c r="S25" s="180"/>
      <c r="T25" s="180"/>
      <c r="U25" s="180"/>
      <c r="V25" s="180"/>
      <c r="W25" s="180"/>
      <c r="X25" s="180"/>
      <c r="Y25" s="180"/>
      <c r="Z25" s="180"/>
      <c r="AA25" s="180"/>
      <c r="AB25" s="180"/>
    </row>
    <row r="26" ht="15.75" customHeight="1">
      <c r="A26" s="605"/>
      <c r="B26" s="428"/>
      <c r="C26" s="429"/>
      <c r="D26" s="632"/>
      <c r="E26" s="430"/>
      <c r="F26" s="389"/>
      <c r="G26" s="431"/>
      <c r="H26" s="607"/>
      <c r="I26" s="633"/>
      <c r="K26" s="404"/>
      <c r="L26" s="608"/>
      <c r="M26" s="433"/>
      <c r="N26" s="180"/>
      <c r="O26" s="180"/>
      <c r="P26" s="180"/>
      <c r="Q26" s="180"/>
      <c r="R26" s="180"/>
      <c r="S26" s="180"/>
      <c r="T26" s="180"/>
      <c r="U26" s="180"/>
      <c r="V26" s="180"/>
      <c r="W26" s="180"/>
      <c r="X26" s="180"/>
      <c r="Y26" s="180"/>
      <c r="Z26" s="180"/>
      <c r="AA26" s="180"/>
      <c r="AB26" s="180"/>
    </row>
    <row r="27" ht="15.75" customHeight="1">
      <c r="A27" s="605"/>
      <c r="B27" s="428"/>
      <c r="C27" s="429"/>
      <c r="D27" s="632"/>
      <c r="E27" s="434"/>
      <c r="F27" s="389"/>
      <c r="G27" s="431"/>
      <c r="H27" s="607"/>
      <c r="I27" s="633"/>
      <c r="K27" s="404"/>
      <c r="L27" s="608"/>
      <c r="M27" s="433"/>
      <c r="N27" s="180"/>
      <c r="O27" s="180"/>
      <c r="P27" s="180"/>
      <c r="Q27" s="180"/>
      <c r="R27" s="180"/>
      <c r="S27" s="180"/>
      <c r="T27" s="180"/>
      <c r="U27" s="180"/>
      <c r="V27" s="180"/>
      <c r="W27" s="180"/>
      <c r="X27" s="180"/>
      <c r="Y27" s="180"/>
      <c r="Z27" s="180"/>
      <c r="AA27" s="180"/>
      <c r="AB27" s="180"/>
    </row>
    <row r="28" ht="15.75" customHeight="1">
      <c r="A28" s="605"/>
      <c r="B28" s="428"/>
      <c r="C28" s="429"/>
      <c r="D28" s="632"/>
      <c r="E28" s="430"/>
      <c r="F28" s="389"/>
      <c r="G28" s="431"/>
      <c r="H28" s="607"/>
      <c r="I28" s="633"/>
      <c r="K28" s="404"/>
      <c r="L28" s="608"/>
      <c r="M28" s="433"/>
      <c r="N28" s="180"/>
      <c r="O28" s="180"/>
      <c r="P28" s="180"/>
      <c r="Q28" s="180"/>
      <c r="R28" s="180"/>
      <c r="S28" s="180"/>
      <c r="T28" s="180"/>
      <c r="U28" s="180"/>
      <c r="V28" s="180"/>
      <c r="W28" s="180"/>
      <c r="X28" s="180"/>
      <c r="Y28" s="180"/>
      <c r="Z28" s="180"/>
      <c r="AA28" s="180"/>
      <c r="AB28" s="180"/>
    </row>
    <row r="29" ht="15.75" customHeight="1">
      <c r="A29" s="605"/>
      <c r="B29" s="428"/>
      <c r="C29" s="429"/>
      <c r="D29" s="632"/>
      <c r="E29" s="434"/>
      <c r="F29" s="389"/>
      <c r="G29" s="431"/>
      <c r="H29" s="607"/>
      <c r="I29" s="633"/>
      <c r="K29" s="404"/>
      <c r="L29" s="608"/>
      <c r="M29" s="433"/>
      <c r="N29" s="180"/>
      <c r="O29" s="180"/>
      <c r="P29" s="180"/>
      <c r="Q29" s="180"/>
      <c r="R29" s="180"/>
      <c r="S29" s="180"/>
      <c r="T29" s="180"/>
      <c r="U29" s="180"/>
      <c r="V29" s="180"/>
      <c r="W29" s="180"/>
      <c r="X29" s="180"/>
      <c r="Y29" s="180"/>
      <c r="Z29" s="180"/>
      <c r="AA29" s="180"/>
      <c r="AB29" s="180"/>
    </row>
    <row r="30" ht="15.75" customHeight="1">
      <c r="A30" s="605"/>
      <c r="B30" s="428"/>
      <c r="C30" s="429"/>
      <c r="D30" s="632"/>
      <c r="E30" s="434"/>
      <c r="F30" s="389"/>
      <c r="G30" s="431"/>
      <c r="H30" s="607"/>
      <c r="I30" s="633"/>
      <c r="K30" s="404"/>
      <c r="L30" s="608"/>
      <c r="M30" s="433"/>
      <c r="N30" s="180"/>
      <c r="O30" s="180"/>
      <c r="P30" s="180"/>
      <c r="Q30" s="180"/>
      <c r="R30" s="180"/>
      <c r="S30" s="180"/>
      <c r="T30" s="180"/>
      <c r="U30" s="180"/>
      <c r="V30" s="180"/>
      <c r="W30" s="180"/>
      <c r="X30" s="180"/>
      <c r="Y30" s="180"/>
      <c r="Z30" s="180"/>
      <c r="AA30" s="180"/>
      <c r="AB30" s="180"/>
    </row>
    <row r="31" ht="15.75" customHeight="1">
      <c r="A31" s="605"/>
      <c r="B31" s="428"/>
      <c r="C31" s="429"/>
      <c r="D31" s="632"/>
      <c r="E31" s="435"/>
      <c r="F31" s="389"/>
      <c r="G31" s="431"/>
      <c r="H31" s="607"/>
      <c r="I31" s="633"/>
      <c r="K31" s="404"/>
      <c r="L31" s="608"/>
      <c r="M31" s="433"/>
      <c r="N31" s="180"/>
      <c r="O31" s="180"/>
      <c r="P31" s="180"/>
      <c r="Q31" s="180"/>
      <c r="R31" s="180"/>
      <c r="S31" s="180"/>
      <c r="T31" s="180"/>
      <c r="U31" s="180"/>
      <c r="V31" s="180"/>
      <c r="W31" s="180"/>
      <c r="X31" s="180"/>
      <c r="Y31" s="180"/>
      <c r="Z31" s="180"/>
      <c r="AA31" s="180"/>
      <c r="AB31" s="180"/>
    </row>
    <row r="32" ht="15.75" customHeight="1">
      <c r="A32" s="605"/>
      <c r="B32" s="428"/>
      <c r="C32" s="429"/>
      <c r="D32" s="632"/>
      <c r="E32" s="438"/>
      <c r="F32" s="389"/>
      <c r="G32" s="431"/>
      <c r="H32" s="607"/>
      <c r="I32" s="633"/>
      <c r="K32" s="404"/>
      <c r="L32" s="608"/>
      <c r="M32" s="433"/>
      <c r="N32" s="180"/>
      <c r="O32" s="180"/>
      <c r="P32" s="180"/>
      <c r="Q32" s="180"/>
      <c r="R32" s="180"/>
      <c r="S32" s="180"/>
      <c r="T32" s="180"/>
      <c r="U32" s="180"/>
      <c r="V32" s="180"/>
      <c r="W32" s="180"/>
      <c r="X32" s="180"/>
      <c r="Y32" s="180"/>
      <c r="Z32" s="180"/>
      <c r="AA32" s="180"/>
      <c r="AB32" s="180"/>
    </row>
    <row r="33" ht="15.75" customHeight="1">
      <c r="A33" s="605"/>
      <c r="B33" s="428"/>
      <c r="C33" s="429"/>
      <c r="D33" s="632"/>
      <c r="E33" s="436"/>
      <c r="F33" s="389"/>
      <c r="G33" s="431"/>
      <c r="H33" s="607"/>
      <c r="I33" s="633"/>
      <c r="K33" s="404"/>
      <c r="L33" s="608"/>
      <c r="M33" s="437"/>
      <c r="N33" s="180"/>
      <c r="O33" s="180"/>
      <c r="P33" s="180"/>
      <c r="Q33" s="180"/>
      <c r="R33" s="180"/>
      <c r="S33" s="180"/>
      <c r="T33" s="180"/>
      <c r="U33" s="180"/>
      <c r="V33" s="180"/>
      <c r="W33" s="180"/>
      <c r="X33" s="180"/>
      <c r="Y33" s="180"/>
      <c r="Z33" s="180"/>
      <c r="AA33" s="180"/>
      <c r="AB33" s="180"/>
    </row>
    <row r="34" ht="15.75" customHeight="1">
      <c r="A34" s="605"/>
      <c r="B34" s="428"/>
      <c r="C34" s="429"/>
      <c r="D34" s="632"/>
      <c r="E34" s="430"/>
      <c r="F34" s="389"/>
      <c r="G34" s="431"/>
      <c r="H34" s="607"/>
      <c r="I34" s="633"/>
      <c r="K34" s="404"/>
      <c r="L34" s="608"/>
      <c r="M34" s="433"/>
      <c r="N34" s="180"/>
      <c r="O34" s="180"/>
      <c r="P34" s="180"/>
      <c r="Q34" s="180"/>
      <c r="R34" s="180"/>
      <c r="S34" s="180"/>
      <c r="T34" s="180"/>
      <c r="U34" s="180"/>
      <c r="V34" s="180"/>
      <c r="W34" s="180"/>
      <c r="X34" s="180"/>
      <c r="Y34" s="180"/>
      <c r="Z34" s="180"/>
      <c r="AA34" s="180"/>
      <c r="AB34" s="180"/>
    </row>
    <row r="35" ht="15.75" customHeight="1">
      <c r="A35" s="605"/>
      <c r="B35" s="428"/>
      <c r="C35" s="429"/>
      <c r="D35" s="632"/>
      <c r="E35" s="438"/>
      <c r="F35" s="389"/>
      <c r="G35" s="431"/>
      <c r="H35" s="607"/>
      <c r="I35" s="633"/>
      <c r="K35" s="404"/>
      <c r="L35" s="608"/>
      <c r="M35" s="433"/>
      <c r="N35" s="180"/>
      <c r="O35" s="180"/>
      <c r="P35" s="180"/>
      <c r="Q35" s="180"/>
      <c r="R35" s="180"/>
      <c r="S35" s="180"/>
      <c r="T35" s="180"/>
      <c r="U35" s="180"/>
      <c r="V35" s="180"/>
      <c r="W35" s="180"/>
      <c r="X35" s="180"/>
      <c r="Y35" s="180"/>
      <c r="Z35" s="180"/>
      <c r="AA35" s="180"/>
      <c r="AB35" s="180"/>
    </row>
    <row r="36" ht="15.75" customHeight="1">
      <c r="A36" s="605"/>
      <c r="B36" s="428"/>
      <c r="C36" s="429"/>
      <c r="D36" s="632"/>
      <c r="E36" s="430"/>
      <c r="F36" s="389"/>
      <c r="G36" s="431"/>
      <c r="H36" s="607"/>
      <c r="I36" s="633"/>
      <c r="K36" s="404"/>
      <c r="L36" s="608"/>
      <c r="M36" s="433"/>
      <c r="N36" s="180"/>
      <c r="O36" s="180"/>
      <c r="P36" s="180"/>
      <c r="Q36" s="180"/>
      <c r="R36" s="180"/>
      <c r="S36" s="180"/>
      <c r="T36" s="180"/>
      <c r="U36" s="180"/>
      <c r="V36" s="180"/>
      <c r="W36" s="180"/>
      <c r="X36" s="180"/>
      <c r="Y36" s="180"/>
      <c r="Z36" s="180"/>
      <c r="AA36" s="180"/>
      <c r="AB36" s="180"/>
    </row>
    <row r="37" ht="15.75" customHeight="1">
      <c r="A37" s="605"/>
      <c r="B37" s="428"/>
      <c r="C37" s="429"/>
      <c r="D37" s="632"/>
      <c r="E37" s="430"/>
      <c r="F37" s="389"/>
      <c r="G37" s="431"/>
      <c r="H37" s="607"/>
      <c r="I37" s="633"/>
      <c r="K37" s="404"/>
      <c r="L37" s="608"/>
      <c r="M37" s="433"/>
      <c r="N37" s="180"/>
      <c r="O37" s="180"/>
      <c r="P37" s="180"/>
      <c r="Q37" s="180"/>
      <c r="R37" s="180"/>
      <c r="S37" s="180"/>
      <c r="T37" s="180"/>
      <c r="U37" s="180"/>
      <c r="V37" s="180"/>
      <c r="W37" s="180"/>
      <c r="X37" s="180"/>
      <c r="Y37" s="180"/>
      <c r="Z37" s="180"/>
      <c r="AA37" s="180"/>
      <c r="AB37" s="180"/>
    </row>
    <row r="38" ht="15.75" customHeight="1">
      <c r="A38" s="605"/>
      <c r="B38" s="428"/>
      <c r="C38" s="429"/>
      <c r="D38" s="632"/>
      <c r="E38" s="430"/>
      <c r="F38" s="389"/>
      <c r="G38" s="431"/>
      <c r="H38" s="607"/>
      <c r="I38" s="633"/>
      <c r="K38" s="404"/>
      <c r="L38" s="608"/>
      <c r="M38" s="433"/>
      <c r="N38" s="180"/>
      <c r="O38" s="180"/>
      <c r="P38" s="180"/>
      <c r="Q38" s="180"/>
      <c r="R38" s="180"/>
      <c r="S38" s="180"/>
      <c r="T38" s="180"/>
      <c r="U38" s="180"/>
      <c r="V38" s="180"/>
      <c r="W38" s="180"/>
      <c r="X38" s="180"/>
      <c r="Y38" s="180"/>
      <c r="Z38" s="180"/>
      <c r="AA38" s="180"/>
      <c r="AB38" s="180"/>
    </row>
    <row r="39" ht="15.75" customHeight="1">
      <c r="A39" s="605"/>
      <c r="B39" s="428"/>
      <c r="C39" s="429"/>
      <c r="D39" s="632"/>
      <c r="E39" s="438"/>
      <c r="F39" s="389"/>
      <c r="G39" s="431"/>
      <c r="H39" s="607"/>
      <c r="I39" s="633"/>
      <c r="K39" s="404"/>
      <c r="L39" s="608"/>
      <c r="M39" s="433"/>
      <c r="N39" s="180"/>
      <c r="O39" s="180"/>
      <c r="P39" s="180"/>
      <c r="Q39" s="180"/>
      <c r="R39" s="180"/>
      <c r="S39" s="180"/>
      <c r="T39" s="180"/>
      <c r="U39" s="180"/>
      <c r="V39" s="180"/>
      <c r="W39" s="180"/>
      <c r="X39" s="180"/>
      <c r="Y39" s="180"/>
      <c r="Z39" s="180"/>
      <c r="AA39" s="180"/>
      <c r="AB39" s="180"/>
    </row>
    <row r="40" ht="15.75" customHeight="1">
      <c r="A40" s="605"/>
      <c r="B40" s="428"/>
      <c r="C40" s="429"/>
      <c r="D40" s="632"/>
      <c r="E40" s="434"/>
      <c r="F40" s="389"/>
      <c r="G40" s="431"/>
      <c r="H40" s="607"/>
      <c r="I40" s="633"/>
      <c r="K40" s="404"/>
      <c r="L40" s="608"/>
      <c r="M40" s="433"/>
      <c r="N40" s="180"/>
      <c r="O40" s="180"/>
      <c r="P40" s="180"/>
      <c r="Q40" s="180"/>
      <c r="R40" s="180"/>
      <c r="S40" s="180"/>
      <c r="T40" s="180"/>
      <c r="U40" s="180"/>
      <c r="V40" s="180"/>
      <c r="W40" s="180"/>
      <c r="X40" s="180"/>
      <c r="Y40" s="180"/>
      <c r="Z40" s="180"/>
      <c r="AA40" s="180"/>
      <c r="AB40" s="180"/>
    </row>
    <row r="41" ht="15.75" customHeight="1">
      <c r="A41" s="605"/>
      <c r="B41" s="428"/>
      <c r="C41" s="429"/>
      <c r="D41" s="632"/>
      <c r="E41" s="434"/>
      <c r="F41" s="389"/>
      <c r="G41" s="431"/>
      <c r="H41" s="607"/>
      <c r="I41" s="633"/>
      <c r="K41" s="404"/>
      <c r="L41" s="608"/>
      <c r="M41" s="433"/>
      <c r="N41" s="180"/>
      <c r="O41" s="180"/>
      <c r="P41" s="180"/>
      <c r="Q41" s="180"/>
      <c r="R41" s="180"/>
      <c r="S41" s="180"/>
      <c r="T41" s="180"/>
      <c r="U41" s="180"/>
      <c r="V41" s="180"/>
      <c r="W41" s="180"/>
      <c r="X41" s="180"/>
      <c r="Y41" s="180"/>
      <c r="Z41" s="180"/>
      <c r="AA41" s="180"/>
      <c r="AB41" s="180"/>
    </row>
    <row r="42" ht="15.75" customHeight="1">
      <c r="A42" s="605"/>
      <c r="B42" s="428"/>
      <c r="C42" s="429"/>
      <c r="D42" s="632"/>
      <c r="E42" s="438"/>
      <c r="F42" s="389"/>
      <c r="G42" s="431"/>
      <c r="H42" s="607"/>
      <c r="I42" s="633"/>
      <c r="K42" s="404"/>
      <c r="L42" s="608"/>
      <c r="M42" s="433"/>
      <c r="N42" s="180"/>
      <c r="O42" s="180"/>
      <c r="P42" s="180"/>
      <c r="Q42" s="180"/>
      <c r="R42" s="180"/>
      <c r="S42" s="180"/>
      <c r="T42" s="180"/>
      <c r="U42" s="180"/>
      <c r="V42" s="180"/>
      <c r="W42" s="180"/>
      <c r="X42" s="180"/>
      <c r="Y42" s="180"/>
      <c r="Z42" s="180"/>
      <c r="AA42" s="180"/>
      <c r="AB42" s="180"/>
    </row>
    <row r="43" ht="15.75" customHeight="1">
      <c r="A43" s="605"/>
      <c r="B43" s="428"/>
      <c r="C43" s="429"/>
      <c r="D43" s="632"/>
      <c r="E43" s="430"/>
      <c r="F43" s="389"/>
      <c r="G43" s="431"/>
      <c r="H43" s="607"/>
      <c r="I43" s="633"/>
      <c r="K43" s="404"/>
      <c r="L43" s="608"/>
      <c r="M43" s="433"/>
      <c r="N43" s="180"/>
      <c r="O43" s="180"/>
      <c r="P43" s="180"/>
      <c r="Q43" s="180"/>
      <c r="R43" s="180"/>
      <c r="S43" s="180"/>
      <c r="T43" s="180"/>
      <c r="U43" s="180"/>
      <c r="V43" s="180"/>
      <c r="W43" s="180"/>
      <c r="X43" s="180"/>
      <c r="Y43" s="180"/>
      <c r="Z43" s="180"/>
      <c r="AA43" s="180"/>
      <c r="AB43" s="180"/>
    </row>
    <row r="44" ht="15.75" customHeight="1">
      <c r="A44" s="605"/>
      <c r="B44" s="428"/>
      <c r="C44" s="429"/>
      <c r="D44" s="632"/>
      <c r="E44" s="430"/>
      <c r="F44" s="389"/>
      <c r="G44" s="431"/>
      <c r="H44" s="607"/>
      <c r="I44" s="633"/>
      <c r="K44" s="404"/>
      <c r="L44" s="608"/>
      <c r="M44" s="433"/>
      <c r="N44" s="180"/>
      <c r="O44" s="180"/>
      <c r="P44" s="180"/>
      <c r="Q44" s="180"/>
      <c r="R44" s="180"/>
      <c r="S44" s="180"/>
      <c r="T44" s="180"/>
      <c r="U44" s="180"/>
      <c r="V44" s="180"/>
      <c r="W44" s="180"/>
      <c r="X44" s="180"/>
      <c r="Y44" s="180"/>
      <c r="Z44" s="180"/>
      <c r="AA44" s="180"/>
      <c r="AB44" s="180"/>
    </row>
    <row r="45" ht="15.75" customHeight="1">
      <c r="A45" s="339"/>
      <c r="C45" s="180"/>
      <c r="D45" s="180"/>
      <c r="E45" s="180"/>
      <c r="F45" s="38"/>
      <c r="G45" s="634"/>
      <c r="H45" s="617"/>
      <c r="I45" s="38"/>
      <c r="J45" s="618"/>
      <c r="K45" s="618"/>
      <c r="L45" s="619"/>
    </row>
    <row r="46" ht="15.75" customHeight="1">
      <c r="A46" s="339"/>
      <c r="C46" s="180"/>
      <c r="D46" s="180"/>
      <c r="E46" s="180"/>
      <c r="F46" s="38"/>
      <c r="G46" s="38"/>
      <c r="H46" s="617"/>
      <c r="I46" s="38"/>
      <c r="J46" s="439"/>
    </row>
    <row r="47" ht="15.75" customHeight="1">
      <c r="A47" s="327"/>
      <c r="B47" s="195"/>
      <c r="C47" s="195"/>
      <c r="D47" s="195"/>
      <c r="E47" s="195"/>
      <c r="F47" s="441"/>
      <c r="G47" s="38"/>
      <c r="H47" s="617"/>
      <c r="I47" s="38"/>
      <c r="J47" s="442"/>
      <c r="K47" s="442"/>
      <c r="M47" s="180"/>
      <c r="N47" s="180"/>
      <c r="O47" s="180"/>
      <c r="P47" s="180"/>
      <c r="Q47" s="180"/>
      <c r="R47" s="180"/>
      <c r="S47" s="180"/>
      <c r="T47" s="180"/>
      <c r="U47" s="180"/>
      <c r="V47" s="180"/>
      <c r="W47" s="180"/>
      <c r="X47" s="180"/>
      <c r="Y47" s="180"/>
      <c r="Z47" s="180"/>
      <c r="AA47" s="180"/>
      <c r="AB47" s="180"/>
    </row>
    <row r="48" ht="15.75" customHeight="1">
      <c r="A48" s="25"/>
      <c r="B48" s="195"/>
      <c r="C48" s="195"/>
      <c r="D48" s="195"/>
      <c r="E48" s="195"/>
      <c r="F48" s="441"/>
      <c r="G48" s="38"/>
      <c r="H48" s="617"/>
      <c r="I48" s="38"/>
      <c r="J48" s="442"/>
      <c r="K48" s="442"/>
      <c r="M48" s="180"/>
      <c r="N48" s="180"/>
      <c r="O48" s="180"/>
      <c r="P48" s="180"/>
      <c r="Q48" s="180"/>
      <c r="R48" s="180"/>
      <c r="S48" s="180"/>
      <c r="T48" s="180"/>
      <c r="U48" s="180"/>
      <c r="V48" s="180"/>
      <c r="W48" s="180"/>
      <c r="X48" s="180"/>
      <c r="Y48" s="180"/>
      <c r="Z48" s="180"/>
      <c r="AA48" s="180"/>
      <c r="AB48" s="180"/>
    </row>
    <row r="49" ht="15.75" customHeight="1">
      <c r="A49" s="635"/>
      <c r="B49" s="635"/>
      <c r="C49" s="635"/>
      <c r="D49" s="635"/>
      <c r="E49" s="635"/>
      <c r="F49" s="636"/>
      <c r="G49" s="637"/>
      <c r="H49" s="617"/>
      <c r="I49" s="38"/>
      <c r="J49" s="442"/>
      <c r="K49" s="442"/>
      <c r="M49" s="180"/>
      <c r="N49" s="180"/>
      <c r="O49" s="180"/>
      <c r="P49" s="180"/>
      <c r="Q49" s="180"/>
      <c r="R49" s="180"/>
      <c r="S49" s="180"/>
      <c r="T49" s="180"/>
      <c r="U49" s="180"/>
      <c r="V49" s="180"/>
      <c r="W49" s="180"/>
      <c r="X49" s="180"/>
      <c r="Y49" s="180"/>
      <c r="Z49" s="180"/>
      <c r="AA49" s="180"/>
      <c r="AB49" s="180"/>
    </row>
    <row r="50" ht="15.75" customHeight="1">
      <c r="A50" s="25"/>
      <c r="B50" s="53"/>
      <c r="C50" s="53"/>
      <c r="D50" s="25"/>
      <c r="E50" s="25"/>
      <c r="F50" s="328"/>
      <c r="G50" s="603"/>
      <c r="H50" s="604"/>
      <c r="I50" s="603"/>
      <c r="J50" s="25"/>
      <c r="K50" s="638"/>
      <c r="L50" s="173"/>
      <c r="M50" s="173"/>
      <c r="O50" s="173"/>
    </row>
    <row r="51" ht="15.75" customHeight="1">
      <c r="A51" s="625"/>
      <c r="B51" s="60"/>
      <c r="C51" s="5"/>
      <c r="D51" s="180"/>
      <c r="E51" s="470"/>
      <c r="F51" s="481"/>
      <c r="G51" s="462"/>
      <c r="H51" s="607"/>
      <c r="I51" s="462"/>
      <c r="J51" s="338"/>
      <c r="K51" s="639"/>
      <c r="L51" s="608"/>
      <c r="M51" s="180"/>
      <c r="N51" s="180"/>
      <c r="O51" s="180"/>
      <c r="P51" s="180"/>
      <c r="Q51" s="180"/>
      <c r="R51" s="180"/>
      <c r="S51" s="180"/>
      <c r="T51" s="180"/>
      <c r="U51" s="180"/>
      <c r="V51" s="180"/>
      <c r="W51" s="180"/>
      <c r="X51" s="180"/>
      <c r="Y51" s="180"/>
      <c r="Z51" s="180"/>
      <c r="AA51" s="180"/>
      <c r="AB51" s="180"/>
    </row>
    <row r="52" ht="15.75" customHeight="1">
      <c r="A52" s="640"/>
      <c r="B52" s="333"/>
      <c r="C52" s="613"/>
      <c r="D52" s="180"/>
      <c r="E52" s="333"/>
      <c r="F52" s="336"/>
      <c r="G52" s="462"/>
      <c r="H52" s="607"/>
      <c r="I52" s="462"/>
      <c r="J52" s="338"/>
      <c r="K52" s="639"/>
      <c r="L52" s="608"/>
      <c r="M52" s="180"/>
      <c r="N52" s="180"/>
      <c r="O52" s="180"/>
      <c r="P52" s="180"/>
      <c r="Q52" s="180"/>
      <c r="R52" s="180"/>
      <c r="S52" s="180"/>
      <c r="T52" s="180"/>
      <c r="U52" s="180"/>
      <c r="V52" s="180"/>
      <c r="W52" s="180"/>
      <c r="X52" s="180"/>
      <c r="Y52" s="180"/>
      <c r="Z52" s="180"/>
      <c r="AA52" s="180"/>
      <c r="AB52" s="180"/>
    </row>
    <row r="53" ht="15.75" customHeight="1">
      <c r="A53" s="339"/>
      <c r="B53" s="333"/>
      <c r="C53" s="641"/>
      <c r="D53" s="180"/>
      <c r="E53" s="459"/>
      <c r="F53" s="336"/>
      <c r="G53" s="462"/>
      <c r="H53" s="607"/>
      <c r="I53" s="462"/>
      <c r="J53" s="338"/>
      <c r="K53" s="639"/>
      <c r="L53" s="608"/>
      <c r="M53" s="180"/>
      <c r="N53" s="180"/>
      <c r="O53" s="180"/>
      <c r="P53" s="180"/>
      <c r="Q53" s="180"/>
      <c r="R53" s="180"/>
      <c r="S53" s="180"/>
      <c r="T53" s="180"/>
      <c r="U53" s="180"/>
      <c r="V53" s="180"/>
      <c r="W53" s="180"/>
      <c r="X53" s="180"/>
      <c r="Y53" s="180"/>
      <c r="Z53" s="180"/>
      <c r="AA53" s="180"/>
      <c r="AB53" s="180"/>
    </row>
    <row r="54" ht="15.75" customHeight="1">
      <c r="A54" s="640"/>
      <c r="B54" s="333"/>
      <c r="C54" s="613"/>
      <c r="D54" s="180"/>
      <c r="E54" s="333"/>
      <c r="F54" s="336"/>
      <c r="G54" s="462"/>
      <c r="H54" s="607"/>
      <c r="I54" s="462"/>
      <c r="J54" s="338"/>
      <c r="K54" s="639"/>
      <c r="L54" s="608"/>
      <c r="M54" s="642"/>
      <c r="O54" s="180"/>
      <c r="P54" s="180"/>
      <c r="Q54" s="180"/>
      <c r="R54" s="180"/>
      <c r="S54" s="180"/>
      <c r="T54" s="180"/>
      <c r="U54" s="180"/>
      <c r="V54" s="180"/>
      <c r="W54" s="180"/>
      <c r="X54" s="180"/>
      <c r="Y54" s="180"/>
      <c r="Z54" s="180"/>
      <c r="AA54" s="180"/>
      <c r="AB54" s="180"/>
    </row>
    <row r="55" ht="15.75" customHeight="1">
      <c r="A55" s="394"/>
      <c r="B55" s="333"/>
      <c r="C55" s="613"/>
      <c r="D55" s="180"/>
      <c r="E55" s="333"/>
      <c r="F55" s="336"/>
      <c r="G55" s="462"/>
      <c r="H55" s="607"/>
      <c r="I55" s="462"/>
      <c r="J55" s="338"/>
      <c r="K55" s="639"/>
      <c r="L55" s="608"/>
      <c r="M55" s="180"/>
      <c r="N55" s="465"/>
      <c r="O55" s="180"/>
      <c r="P55" s="180"/>
      <c r="Q55" s="180"/>
      <c r="R55" s="180"/>
      <c r="S55" s="180"/>
      <c r="T55" s="180"/>
      <c r="U55" s="180"/>
      <c r="V55" s="180"/>
      <c r="W55" s="180"/>
      <c r="X55" s="180"/>
      <c r="Y55" s="180"/>
      <c r="Z55" s="180"/>
      <c r="AA55" s="180"/>
      <c r="AB55" s="180"/>
    </row>
    <row r="56" ht="15.75" customHeight="1">
      <c r="A56" s="339"/>
      <c r="B56" s="333"/>
      <c r="C56" s="613"/>
      <c r="D56" s="180"/>
      <c r="E56" s="333"/>
      <c r="F56" s="336"/>
      <c r="G56" s="462"/>
      <c r="H56" s="607"/>
      <c r="I56" s="462"/>
      <c r="J56" s="338"/>
      <c r="K56" s="639"/>
      <c r="L56" s="608"/>
      <c r="M56" s="180"/>
      <c r="N56" s="180"/>
      <c r="O56" s="180"/>
      <c r="P56" s="180"/>
      <c r="Q56" s="180"/>
      <c r="R56" s="180"/>
      <c r="S56" s="180"/>
      <c r="T56" s="180"/>
      <c r="U56" s="180"/>
      <c r="V56" s="180"/>
      <c r="W56" s="180"/>
      <c r="X56" s="180"/>
      <c r="Y56" s="180"/>
      <c r="Z56" s="180"/>
      <c r="AA56" s="180"/>
      <c r="AB56" s="180"/>
    </row>
    <row r="57" ht="15.75" customHeight="1">
      <c r="A57" s="339"/>
      <c r="B57" s="333"/>
      <c r="C57" s="613"/>
      <c r="D57" s="180"/>
      <c r="E57" s="470"/>
      <c r="F57" s="643"/>
      <c r="G57" s="462"/>
      <c r="H57" s="607"/>
      <c r="I57" s="462"/>
      <c r="J57" s="338"/>
      <c r="K57" s="639"/>
      <c r="L57" s="608"/>
      <c r="M57" s="642"/>
      <c r="N57" s="180"/>
      <c r="O57" s="180"/>
      <c r="P57" s="180"/>
      <c r="Q57" s="180"/>
      <c r="R57" s="180"/>
      <c r="S57" s="180"/>
      <c r="T57" s="180"/>
      <c r="U57" s="180"/>
      <c r="V57" s="180"/>
      <c r="W57" s="180"/>
      <c r="X57" s="180"/>
      <c r="Y57" s="180"/>
      <c r="Z57" s="180"/>
      <c r="AA57" s="180"/>
      <c r="AB57" s="180"/>
    </row>
    <row r="58" ht="15.75" customHeight="1">
      <c r="A58" s="394"/>
      <c r="B58" s="333"/>
      <c r="C58" s="613"/>
      <c r="D58" s="180"/>
      <c r="E58" s="333"/>
      <c r="F58" s="336"/>
      <c r="G58" s="462"/>
      <c r="H58" s="607"/>
      <c r="I58" s="462"/>
      <c r="J58" s="338"/>
      <c r="K58" s="639"/>
      <c r="L58" s="608"/>
      <c r="M58" s="180"/>
      <c r="N58" s="180"/>
      <c r="O58" s="180"/>
      <c r="P58" s="180"/>
      <c r="Q58" s="180"/>
      <c r="R58" s="180"/>
      <c r="S58" s="180"/>
      <c r="T58" s="180"/>
      <c r="U58" s="180"/>
      <c r="V58" s="180"/>
      <c r="W58" s="180"/>
      <c r="X58" s="180"/>
      <c r="Y58" s="180"/>
      <c r="Z58" s="180"/>
      <c r="AA58" s="180"/>
      <c r="AB58" s="180"/>
    </row>
    <row r="59" ht="15.75" customHeight="1">
      <c r="A59" s="339"/>
      <c r="B59" s="333"/>
      <c r="C59" s="613"/>
      <c r="D59" s="180"/>
      <c r="E59" s="333"/>
      <c r="F59" s="336"/>
      <c r="G59" s="462"/>
      <c r="H59" s="607"/>
      <c r="I59" s="462"/>
      <c r="J59" s="338"/>
      <c r="K59" s="639"/>
      <c r="L59" s="608"/>
      <c r="M59" s="180"/>
      <c r="N59" s="180"/>
      <c r="O59" s="180"/>
      <c r="P59" s="180"/>
      <c r="Q59" s="180"/>
      <c r="R59" s="180"/>
      <c r="S59" s="180"/>
      <c r="T59" s="180"/>
      <c r="U59" s="180"/>
      <c r="V59" s="180"/>
      <c r="W59" s="180"/>
      <c r="X59" s="180"/>
      <c r="Y59" s="180"/>
      <c r="Z59" s="180"/>
      <c r="AA59" s="180"/>
      <c r="AB59" s="180"/>
    </row>
    <row r="60" ht="15.75" customHeight="1">
      <c r="A60" s="339"/>
      <c r="B60" s="333"/>
      <c r="C60" s="613"/>
      <c r="D60" s="180"/>
      <c r="E60" s="470"/>
      <c r="F60" s="336"/>
      <c r="G60" s="462"/>
      <c r="H60" s="607"/>
      <c r="I60" s="462"/>
      <c r="J60" s="338"/>
      <c r="K60" s="639"/>
      <c r="L60" s="608"/>
      <c r="M60" s="180"/>
      <c r="N60" s="180"/>
      <c r="O60" s="180"/>
      <c r="P60" s="180"/>
      <c r="Q60" s="180"/>
      <c r="R60" s="180"/>
      <c r="S60" s="180"/>
      <c r="T60" s="180"/>
      <c r="U60" s="180"/>
      <c r="V60" s="180"/>
      <c r="W60" s="180"/>
      <c r="X60" s="180"/>
      <c r="Y60" s="180"/>
      <c r="Z60" s="180"/>
      <c r="AA60" s="180"/>
      <c r="AB60" s="180"/>
    </row>
    <row r="61" ht="15.75" customHeight="1">
      <c r="A61" s="394"/>
      <c r="B61" s="333"/>
      <c r="C61" s="613"/>
      <c r="D61" s="180"/>
      <c r="E61" s="470"/>
      <c r="F61" s="336"/>
      <c r="G61" s="462"/>
      <c r="H61" s="607"/>
      <c r="I61" s="462"/>
      <c r="J61" s="338"/>
      <c r="K61" s="639"/>
      <c r="L61" s="608"/>
      <c r="M61" s="180"/>
      <c r="N61" s="180"/>
      <c r="O61" s="180"/>
      <c r="P61" s="180"/>
      <c r="Q61" s="180"/>
      <c r="R61" s="180"/>
      <c r="S61" s="180"/>
      <c r="T61" s="180"/>
      <c r="U61" s="180"/>
      <c r="V61" s="180"/>
      <c r="W61" s="180"/>
      <c r="X61" s="180"/>
      <c r="Y61" s="180"/>
      <c r="Z61" s="180"/>
      <c r="AA61" s="180"/>
      <c r="AB61" s="180"/>
    </row>
    <row r="62" ht="15.75" customHeight="1">
      <c r="A62" s="394"/>
      <c r="B62" s="333"/>
      <c r="C62" s="613"/>
      <c r="D62" s="180"/>
      <c r="E62" s="333"/>
      <c r="F62" s="336"/>
      <c r="G62" s="462"/>
      <c r="H62" s="607"/>
      <c r="I62" s="462"/>
      <c r="J62" s="338"/>
      <c r="K62" s="639"/>
      <c r="L62" s="608"/>
      <c r="N62" s="180"/>
      <c r="O62" s="180"/>
      <c r="P62" s="180"/>
      <c r="Q62" s="180"/>
      <c r="R62" s="180"/>
      <c r="S62" s="180"/>
      <c r="T62" s="180"/>
      <c r="U62" s="180"/>
      <c r="V62" s="180"/>
      <c r="W62" s="180"/>
      <c r="X62" s="180"/>
      <c r="Y62" s="180"/>
      <c r="Z62" s="180"/>
      <c r="AA62" s="180"/>
      <c r="AB62" s="180"/>
    </row>
    <row r="63" ht="15.75" customHeight="1">
      <c r="A63" s="339"/>
      <c r="B63" s="333"/>
      <c r="C63" s="613"/>
      <c r="D63" s="180"/>
      <c r="E63" s="333"/>
      <c r="F63" s="336"/>
      <c r="G63" s="462"/>
      <c r="H63" s="607"/>
      <c r="I63" s="462"/>
      <c r="J63" s="338"/>
      <c r="K63" s="639"/>
      <c r="L63" s="608"/>
      <c r="M63" s="642"/>
      <c r="N63" s="180"/>
      <c r="O63" s="180"/>
      <c r="P63" s="180"/>
      <c r="Q63" s="180"/>
      <c r="R63" s="180"/>
      <c r="S63" s="180"/>
      <c r="T63" s="180"/>
      <c r="U63" s="180"/>
      <c r="V63" s="180"/>
      <c r="W63" s="180"/>
      <c r="X63" s="180"/>
      <c r="Y63" s="180"/>
      <c r="Z63" s="180"/>
      <c r="AA63" s="180"/>
      <c r="AB63" s="180"/>
    </row>
    <row r="64" ht="15.75" customHeight="1">
      <c r="A64" s="339"/>
      <c r="B64" s="333"/>
      <c r="C64" s="613"/>
      <c r="D64" s="180"/>
      <c r="E64" s="470"/>
      <c r="F64" s="336"/>
      <c r="G64" s="462"/>
      <c r="H64" s="607"/>
      <c r="I64" s="462"/>
      <c r="J64" s="338"/>
      <c r="K64" s="639"/>
      <c r="L64" s="608"/>
      <c r="M64" s="180"/>
      <c r="N64" s="180"/>
      <c r="O64" s="180"/>
      <c r="P64" s="180"/>
      <c r="Q64" s="180"/>
      <c r="R64" s="180"/>
      <c r="S64" s="180"/>
      <c r="T64" s="180"/>
      <c r="U64" s="180"/>
      <c r="V64" s="180"/>
      <c r="W64" s="180"/>
      <c r="X64" s="180"/>
      <c r="Y64" s="180"/>
      <c r="Z64" s="180"/>
      <c r="AA64" s="180"/>
      <c r="AB64" s="180"/>
    </row>
    <row r="65" ht="15.75" customHeight="1">
      <c r="A65" s="339"/>
      <c r="B65" s="333"/>
      <c r="C65" s="613"/>
      <c r="D65" s="180"/>
      <c r="E65" s="333"/>
      <c r="F65" s="336"/>
      <c r="G65" s="462"/>
      <c r="H65" s="607"/>
      <c r="I65" s="462"/>
      <c r="J65" s="338"/>
      <c r="K65" s="639"/>
      <c r="L65" s="608"/>
      <c r="M65" s="180"/>
      <c r="N65" s="180"/>
      <c r="O65" s="180"/>
      <c r="P65" s="180"/>
      <c r="Q65" s="180"/>
      <c r="R65" s="180"/>
      <c r="S65" s="180"/>
      <c r="T65" s="180"/>
      <c r="U65" s="180"/>
      <c r="V65" s="180"/>
      <c r="W65" s="180"/>
      <c r="X65" s="180"/>
      <c r="Y65" s="180"/>
      <c r="Z65" s="180"/>
      <c r="AA65" s="180"/>
      <c r="AB65" s="180"/>
    </row>
    <row r="66" ht="15.75" customHeight="1">
      <c r="A66" s="339"/>
      <c r="B66" s="333"/>
      <c r="C66" s="613"/>
      <c r="D66" s="180"/>
      <c r="E66" s="470"/>
      <c r="F66" s="336"/>
      <c r="G66" s="462"/>
      <c r="H66" s="607"/>
      <c r="I66" s="462"/>
      <c r="J66" s="338"/>
      <c r="K66" s="639"/>
      <c r="L66" s="608"/>
      <c r="M66" s="180"/>
      <c r="N66" s="180"/>
      <c r="O66" s="180"/>
      <c r="P66" s="180"/>
      <c r="Q66" s="180"/>
      <c r="R66" s="180"/>
      <c r="S66" s="180"/>
      <c r="T66" s="180"/>
      <c r="U66" s="180"/>
      <c r="V66" s="180"/>
      <c r="W66" s="180"/>
      <c r="X66" s="180"/>
      <c r="Y66" s="180"/>
      <c r="Z66" s="180"/>
      <c r="AA66" s="180"/>
      <c r="AB66" s="180"/>
    </row>
    <row r="67" ht="15.75" customHeight="1">
      <c r="A67" s="394"/>
      <c r="B67" s="333"/>
      <c r="C67" s="613"/>
      <c r="D67" s="180"/>
      <c r="E67" s="470"/>
      <c r="F67" s="336"/>
      <c r="G67" s="462"/>
      <c r="H67" s="607"/>
      <c r="I67" s="462"/>
      <c r="J67" s="338"/>
      <c r="K67" s="639"/>
      <c r="L67" s="608"/>
      <c r="M67" s="642"/>
      <c r="N67" s="180"/>
      <c r="O67" s="180"/>
      <c r="P67" s="180"/>
      <c r="Q67" s="180"/>
      <c r="R67" s="180"/>
      <c r="S67" s="180"/>
      <c r="T67" s="180"/>
      <c r="U67" s="180"/>
      <c r="V67" s="180"/>
      <c r="W67" s="180"/>
      <c r="X67" s="180"/>
      <c r="Y67" s="180"/>
      <c r="Z67" s="180"/>
      <c r="AA67" s="180"/>
      <c r="AB67" s="180"/>
    </row>
    <row r="68" ht="15.75" customHeight="1">
      <c r="A68" s="394"/>
      <c r="B68" s="333"/>
      <c r="C68" s="613"/>
      <c r="D68" s="180"/>
      <c r="E68" s="470"/>
      <c r="F68" s="336"/>
      <c r="G68" s="462"/>
      <c r="H68" s="607"/>
      <c r="I68" s="462"/>
      <c r="J68" s="338"/>
      <c r="K68" s="639"/>
      <c r="L68" s="608"/>
      <c r="M68" s="180"/>
      <c r="N68" s="180"/>
      <c r="O68" s="180"/>
      <c r="P68" s="180"/>
      <c r="Q68" s="180"/>
      <c r="R68" s="180"/>
      <c r="S68" s="180"/>
      <c r="T68" s="180"/>
      <c r="U68" s="180"/>
      <c r="V68" s="180"/>
      <c r="W68" s="180"/>
      <c r="X68" s="180"/>
      <c r="Y68" s="180"/>
      <c r="Z68" s="180"/>
      <c r="AA68" s="180"/>
      <c r="AB68" s="180"/>
    </row>
    <row r="69" ht="15.75" customHeight="1">
      <c r="A69" s="339"/>
      <c r="B69" s="333"/>
      <c r="C69" s="613"/>
      <c r="D69" s="180"/>
      <c r="E69" s="333"/>
      <c r="F69" s="336"/>
      <c r="G69" s="462"/>
      <c r="H69" s="607"/>
      <c r="I69" s="462"/>
      <c r="J69" s="338"/>
      <c r="K69" s="639"/>
      <c r="L69" s="608"/>
      <c r="M69" s="180"/>
      <c r="N69" s="180"/>
      <c r="O69" s="180"/>
      <c r="P69" s="180"/>
      <c r="Q69" s="180"/>
      <c r="R69" s="180"/>
      <c r="S69" s="180"/>
      <c r="T69" s="180"/>
      <c r="U69" s="180"/>
      <c r="V69" s="180"/>
      <c r="W69" s="180"/>
      <c r="X69" s="180"/>
      <c r="Y69" s="180"/>
      <c r="Z69" s="180"/>
      <c r="AA69" s="180"/>
      <c r="AB69" s="180"/>
    </row>
    <row r="70" ht="15.75" customHeight="1">
      <c r="A70" s="339"/>
      <c r="B70" s="333"/>
      <c r="C70" s="613"/>
      <c r="D70" s="180"/>
      <c r="E70" s="470"/>
      <c r="F70" s="336"/>
      <c r="G70" s="462"/>
      <c r="H70" s="607"/>
      <c r="I70" s="462"/>
      <c r="J70" s="338"/>
      <c r="K70" s="639"/>
      <c r="L70" s="608"/>
      <c r="N70" s="180"/>
      <c r="O70" s="180"/>
      <c r="P70" s="180"/>
      <c r="Q70" s="180"/>
      <c r="R70" s="180"/>
      <c r="S70" s="180"/>
      <c r="T70" s="180"/>
      <c r="U70" s="180"/>
      <c r="V70" s="180"/>
      <c r="W70" s="180"/>
      <c r="X70" s="180"/>
      <c r="Y70" s="180"/>
      <c r="Z70" s="180"/>
      <c r="AA70" s="180"/>
      <c r="AB70" s="180"/>
    </row>
    <row r="71" ht="15.75" customHeight="1">
      <c r="F71" s="38"/>
      <c r="G71" s="634"/>
      <c r="H71" s="617"/>
      <c r="I71" s="38"/>
      <c r="J71" s="618"/>
      <c r="K71" s="618"/>
      <c r="L71" s="619"/>
    </row>
    <row r="72" ht="15.75" customHeight="1">
      <c r="F72" s="38"/>
      <c r="G72" s="38"/>
      <c r="H72" s="617"/>
      <c r="I72" s="38"/>
      <c r="J72" s="442"/>
    </row>
    <row r="73" ht="15.75" customHeight="1">
      <c r="A73" s="25"/>
      <c r="G73" s="38"/>
      <c r="H73" s="617"/>
      <c r="I73" s="38"/>
      <c r="J73" s="442"/>
    </row>
    <row r="74" ht="15.75" customHeight="1">
      <c r="A74" s="339"/>
      <c r="B74" s="644"/>
      <c r="C74" s="644"/>
      <c r="D74" s="645"/>
      <c r="E74" s="470"/>
      <c r="F74" s="646"/>
      <c r="G74" s="416"/>
      <c r="H74" s="607"/>
      <c r="I74" s="647"/>
      <c r="J74" s="338"/>
      <c r="K74" s="639"/>
      <c r="L74" s="608"/>
      <c r="M74" s="180"/>
      <c r="N74" s="180"/>
      <c r="O74" s="180"/>
      <c r="P74" s="180"/>
      <c r="Q74" s="180"/>
      <c r="R74" s="180"/>
      <c r="S74" s="180"/>
      <c r="T74" s="180"/>
      <c r="U74" s="180"/>
      <c r="V74" s="180"/>
      <c r="W74" s="180"/>
      <c r="X74" s="180"/>
      <c r="Y74" s="180"/>
      <c r="Z74" s="180"/>
      <c r="AA74" s="180"/>
      <c r="AB74" s="180"/>
    </row>
    <row r="75" ht="15.75" customHeight="1">
      <c r="A75" s="339"/>
      <c r="B75" s="644"/>
      <c r="C75" s="644"/>
      <c r="D75" s="645"/>
      <c r="E75" s="470"/>
      <c r="F75" s="648"/>
      <c r="G75" s="416"/>
      <c r="H75" s="607"/>
      <c r="I75" s="647"/>
      <c r="J75" s="338"/>
      <c r="K75" s="639"/>
      <c r="L75" s="608"/>
      <c r="M75" s="180"/>
      <c r="N75" s="180"/>
      <c r="O75" s="180"/>
      <c r="P75" s="180"/>
      <c r="Q75" s="180"/>
      <c r="R75" s="180"/>
      <c r="S75" s="180"/>
      <c r="T75" s="180"/>
      <c r="U75" s="180"/>
      <c r="V75" s="180"/>
      <c r="W75" s="180"/>
      <c r="X75" s="180"/>
      <c r="Y75" s="180"/>
      <c r="Z75" s="180"/>
      <c r="AA75" s="180"/>
      <c r="AB75" s="180"/>
    </row>
    <row r="76" ht="15.75" customHeight="1">
      <c r="A76" s="180"/>
      <c r="B76" s="180"/>
      <c r="C76" s="180"/>
      <c r="D76" s="645"/>
      <c r="E76" s="333"/>
      <c r="F76" s="481"/>
      <c r="G76" s="416"/>
      <c r="H76" s="607"/>
      <c r="I76" s="649"/>
      <c r="J76" s="338"/>
      <c r="K76" s="639"/>
      <c r="L76" s="608"/>
      <c r="M76" s="180"/>
      <c r="N76" s="180"/>
      <c r="O76" s="180"/>
      <c r="P76" s="180"/>
      <c r="Q76" s="180"/>
      <c r="R76" s="180"/>
      <c r="S76" s="180"/>
      <c r="T76" s="180"/>
      <c r="U76" s="180"/>
      <c r="V76" s="180"/>
      <c r="W76" s="180"/>
      <c r="X76" s="180"/>
      <c r="Y76" s="180"/>
      <c r="Z76" s="180"/>
      <c r="AA76" s="180"/>
      <c r="AB76" s="180"/>
    </row>
    <row r="77" ht="15.75" customHeight="1">
      <c r="A77" s="339"/>
      <c r="C77" s="180"/>
      <c r="D77" s="645"/>
      <c r="E77" s="471"/>
      <c r="F77" s="650"/>
      <c r="G77" s="416"/>
      <c r="H77" s="607"/>
      <c r="I77" s="649"/>
      <c r="J77" s="338"/>
      <c r="K77" s="639"/>
      <c r="L77" s="608"/>
      <c r="M77" s="180"/>
      <c r="N77" s="180"/>
      <c r="O77" s="180"/>
      <c r="P77" s="180"/>
      <c r="Q77" s="180"/>
      <c r="R77" s="180"/>
      <c r="S77" s="180"/>
      <c r="T77" s="180"/>
      <c r="U77" s="180"/>
      <c r="V77" s="180"/>
      <c r="W77" s="180"/>
      <c r="X77" s="180"/>
      <c r="Y77" s="180"/>
      <c r="Z77" s="180"/>
      <c r="AA77" s="180"/>
      <c r="AB77" s="180"/>
    </row>
    <row r="78" ht="15.75" customHeight="1">
      <c r="A78" s="626"/>
      <c r="C78" s="180"/>
      <c r="D78" s="645"/>
      <c r="E78" s="60"/>
      <c r="F78" s="481"/>
      <c r="G78" s="416"/>
      <c r="H78" s="607"/>
      <c r="I78" s="649"/>
      <c r="J78" s="338"/>
      <c r="K78" s="639"/>
      <c r="L78" s="608"/>
      <c r="M78" s="642"/>
      <c r="N78" s="180"/>
      <c r="O78" s="180"/>
      <c r="P78" s="180"/>
      <c r="Q78" s="180"/>
      <c r="R78" s="180"/>
      <c r="S78" s="180"/>
      <c r="T78" s="180"/>
      <c r="U78" s="180"/>
      <c r="V78" s="180"/>
      <c r="W78" s="180"/>
      <c r="X78" s="180"/>
      <c r="Y78" s="180"/>
      <c r="Z78" s="180"/>
      <c r="AA78" s="180"/>
      <c r="AB78" s="180"/>
    </row>
    <row r="79" ht="15.75" customHeight="1">
      <c r="A79" s="339"/>
      <c r="B79" s="479"/>
      <c r="C79" s="651"/>
      <c r="D79" s="645"/>
      <c r="E79" s="180"/>
      <c r="F79" s="472"/>
      <c r="G79" s="634"/>
      <c r="H79" s="617"/>
      <c r="I79" s="38"/>
      <c r="J79" s="634"/>
      <c r="K79" s="634"/>
      <c r="L79" s="619"/>
      <c r="M79" s="180"/>
      <c r="N79" s="180"/>
      <c r="O79" s="180"/>
      <c r="P79" s="180"/>
      <c r="Q79" s="180"/>
      <c r="R79" s="180"/>
      <c r="S79" s="180"/>
      <c r="T79" s="180"/>
      <c r="U79" s="180"/>
      <c r="V79" s="180"/>
      <c r="W79" s="180"/>
      <c r="X79" s="180"/>
      <c r="Y79" s="180"/>
      <c r="Z79" s="180"/>
      <c r="AA79" s="180"/>
      <c r="AB79" s="180"/>
    </row>
    <row r="80" ht="15.75" customHeight="1">
      <c r="A80" s="339"/>
      <c r="B80" s="479"/>
      <c r="C80" s="651"/>
      <c r="D80" s="645"/>
      <c r="E80" s="180"/>
      <c r="F80" s="472"/>
      <c r="G80" s="38"/>
      <c r="H80" s="607"/>
      <c r="I80" s="649"/>
      <c r="L80" s="608"/>
      <c r="M80" s="180"/>
      <c r="N80" s="180"/>
      <c r="O80" s="180"/>
      <c r="P80" s="180"/>
      <c r="Q80" s="180"/>
      <c r="R80" s="180"/>
      <c r="S80" s="180"/>
      <c r="T80" s="180"/>
      <c r="U80" s="180"/>
      <c r="V80" s="180"/>
      <c r="W80" s="180"/>
      <c r="X80" s="180"/>
      <c r="Y80" s="180"/>
      <c r="Z80" s="180"/>
      <c r="AA80" s="180"/>
      <c r="AB80" s="180"/>
    </row>
    <row r="81" ht="15.75" customHeight="1">
      <c r="A81" s="25"/>
      <c r="B81" s="479"/>
      <c r="C81" s="651"/>
      <c r="D81" s="645"/>
      <c r="E81" s="180"/>
      <c r="F81" s="472"/>
      <c r="G81" s="38"/>
      <c r="H81" s="607"/>
      <c r="I81" s="649"/>
      <c r="L81" s="608"/>
      <c r="M81" s="180"/>
      <c r="N81" s="180"/>
      <c r="O81" s="180"/>
      <c r="P81" s="180"/>
      <c r="Q81" s="180"/>
      <c r="R81" s="180"/>
      <c r="S81" s="180"/>
      <c r="T81" s="180"/>
      <c r="U81" s="180"/>
      <c r="V81" s="180"/>
      <c r="W81" s="180"/>
      <c r="X81" s="180"/>
      <c r="Y81" s="180"/>
      <c r="Z81" s="180"/>
      <c r="AA81" s="180"/>
      <c r="AB81" s="180"/>
    </row>
    <row r="82" ht="15.75" customHeight="1">
      <c r="A82" s="394"/>
      <c r="B82" s="652"/>
      <c r="C82" s="653"/>
      <c r="D82" s="645"/>
      <c r="E82" s="654"/>
      <c r="F82" s="655"/>
      <c r="G82" s="656"/>
      <c r="H82" s="607"/>
      <c r="I82" s="649"/>
      <c r="J82" s="579"/>
      <c r="L82" s="608"/>
      <c r="M82" s="180"/>
      <c r="N82" s="180"/>
      <c r="O82" s="180"/>
      <c r="P82" s="180"/>
      <c r="Q82" s="180"/>
      <c r="R82" s="180"/>
      <c r="S82" s="180"/>
      <c r="T82" s="180"/>
      <c r="U82" s="180"/>
      <c r="V82" s="180"/>
      <c r="W82" s="180"/>
      <c r="X82" s="180"/>
      <c r="Y82" s="180"/>
      <c r="Z82" s="180"/>
      <c r="AA82" s="180"/>
      <c r="AB82" s="180"/>
    </row>
    <row r="83" ht="15.75" customHeight="1">
      <c r="A83" s="339"/>
      <c r="B83" s="479"/>
      <c r="C83" s="651"/>
      <c r="D83" s="645"/>
      <c r="E83" s="654"/>
      <c r="F83" s="655"/>
      <c r="G83" s="656"/>
      <c r="H83" s="607"/>
      <c r="I83" s="649"/>
      <c r="J83" s="579"/>
      <c r="L83" s="608"/>
      <c r="M83" s="180"/>
      <c r="N83" s="180"/>
      <c r="O83" s="180"/>
      <c r="P83" s="180"/>
      <c r="Q83" s="180"/>
      <c r="R83" s="180"/>
      <c r="S83" s="180"/>
      <c r="T83" s="180"/>
      <c r="U83" s="180"/>
      <c r="V83" s="180"/>
      <c r="W83" s="180"/>
      <c r="X83" s="180"/>
      <c r="Y83" s="180"/>
      <c r="Z83" s="180"/>
      <c r="AA83" s="180"/>
      <c r="AB83" s="180"/>
    </row>
    <row r="84" ht="15.75" customHeight="1">
      <c r="A84" s="339"/>
      <c r="B84" s="479"/>
      <c r="C84" s="414"/>
      <c r="D84" s="645"/>
      <c r="E84" s="654"/>
      <c r="F84" s="655"/>
      <c r="G84" s="656"/>
      <c r="H84" s="607"/>
      <c r="I84" s="649"/>
      <c r="J84" s="579"/>
      <c r="L84" s="608"/>
      <c r="M84" s="180"/>
      <c r="N84" s="180"/>
      <c r="O84" s="180"/>
      <c r="P84" s="180"/>
      <c r="Q84" s="180"/>
      <c r="R84" s="180"/>
      <c r="S84" s="180"/>
      <c r="T84" s="180"/>
      <c r="U84" s="180"/>
      <c r="V84" s="180"/>
      <c r="W84" s="180"/>
      <c r="X84" s="180"/>
      <c r="Y84" s="180"/>
      <c r="Z84" s="180"/>
      <c r="AA84" s="180"/>
      <c r="AB84" s="180"/>
    </row>
    <row r="85" ht="15.75" customHeight="1">
      <c r="A85" s="657"/>
      <c r="B85" s="180"/>
      <c r="C85" s="180"/>
      <c r="D85" s="606"/>
      <c r="E85" s="654"/>
      <c r="F85" s="655"/>
      <c r="G85" s="656"/>
      <c r="H85" s="607"/>
      <c r="I85" s="658"/>
      <c r="J85" s="579"/>
      <c r="L85" s="608"/>
      <c r="M85" s="180"/>
      <c r="N85" s="180"/>
      <c r="O85" s="180"/>
      <c r="P85" s="180"/>
      <c r="Q85" s="180"/>
      <c r="R85" s="180"/>
      <c r="S85" s="180"/>
      <c r="T85" s="180"/>
      <c r="U85" s="180"/>
      <c r="V85" s="180"/>
      <c r="W85" s="180"/>
      <c r="X85" s="180"/>
      <c r="Y85" s="180"/>
      <c r="Z85" s="180"/>
      <c r="AA85" s="180"/>
      <c r="AB85" s="180"/>
    </row>
    <row r="86" ht="15.75" customHeight="1">
      <c r="A86" s="339"/>
      <c r="B86" s="659"/>
      <c r="C86" s="659"/>
      <c r="D86" s="606"/>
      <c r="E86" s="654"/>
      <c r="F86" s="655"/>
      <c r="G86" s="656"/>
      <c r="H86" s="607"/>
      <c r="I86" s="658"/>
      <c r="J86" s="579"/>
      <c r="L86" s="608"/>
      <c r="M86" s="180"/>
      <c r="N86" s="180"/>
      <c r="O86" s="180"/>
      <c r="P86" s="180"/>
      <c r="Q86" s="180"/>
      <c r="R86" s="180"/>
      <c r="S86" s="180"/>
      <c r="T86" s="180"/>
      <c r="U86" s="180"/>
      <c r="V86" s="180"/>
      <c r="W86" s="180"/>
      <c r="X86" s="180"/>
      <c r="Y86" s="180"/>
      <c r="Z86" s="180"/>
      <c r="AA86" s="180"/>
      <c r="AB86" s="180"/>
    </row>
    <row r="87" ht="15.75" customHeight="1">
      <c r="A87" s="339"/>
      <c r="B87" s="180"/>
      <c r="C87" s="34"/>
      <c r="D87" s="606"/>
      <c r="E87" s="654"/>
      <c r="F87" s="655"/>
      <c r="G87" s="656"/>
      <c r="H87" s="607"/>
      <c r="I87" s="658"/>
      <c r="J87" s="579"/>
      <c r="L87" s="608"/>
      <c r="M87" s="180"/>
      <c r="N87" s="180"/>
      <c r="O87" s="180"/>
      <c r="P87" s="180"/>
      <c r="Q87" s="180"/>
      <c r="R87" s="180"/>
      <c r="S87" s="180"/>
      <c r="T87" s="180"/>
      <c r="U87" s="180"/>
      <c r="V87" s="180"/>
      <c r="W87" s="180"/>
      <c r="X87" s="180"/>
      <c r="Y87" s="180"/>
      <c r="Z87" s="180"/>
      <c r="AA87" s="180"/>
      <c r="AB87" s="180"/>
    </row>
    <row r="88" ht="15.75" customHeight="1">
      <c r="A88" s="180"/>
      <c r="B88" s="180"/>
      <c r="C88" s="180"/>
      <c r="D88" s="606"/>
      <c r="E88" s="654"/>
      <c r="F88" s="655"/>
      <c r="G88" s="656"/>
      <c r="H88" s="607"/>
      <c r="I88" s="658"/>
      <c r="J88" s="579"/>
      <c r="L88" s="608"/>
      <c r="M88" s="180"/>
      <c r="N88" s="180"/>
      <c r="O88" s="180"/>
      <c r="P88" s="180"/>
      <c r="Q88" s="180"/>
      <c r="R88" s="180"/>
      <c r="S88" s="180"/>
      <c r="T88" s="180"/>
      <c r="U88" s="180"/>
      <c r="V88" s="180"/>
      <c r="W88" s="180"/>
      <c r="X88" s="180"/>
      <c r="Y88" s="180"/>
      <c r="Z88" s="180"/>
      <c r="AA88" s="180"/>
      <c r="AB88" s="180"/>
    </row>
    <row r="89" ht="15.75" customHeight="1">
      <c r="A89" s="180"/>
      <c r="B89" s="180"/>
      <c r="C89" s="180"/>
      <c r="D89" s="606"/>
      <c r="E89" s="654"/>
      <c r="F89" s="655"/>
      <c r="G89" s="656"/>
      <c r="H89" s="607"/>
      <c r="I89" s="658"/>
      <c r="J89" s="579"/>
      <c r="L89" s="608"/>
      <c r="M89" s="180"/>
      <c r="N89" s="180"/>
      <c r="O89" s="180"/>
      <c r="P89" s="180"/>
      <c r="Q89" s="180"/>
      <c r="R89" s="180"/>
      <c r="S89" s="180"/>
      <c r="T89" s="180"/>
      <c r="U89" s="180"/>
      <c r="V89" s="180"/>
      <c r="W89" s="180"/>
      <c r="X89" s="180"/>
      <c r="Y89" s="180"/>
      <c r="Z89" s="180"/>
      <c r="AA89" s="180"/>
      <c r="AB89" s="180"/>
    </row>
    <row r="90" ht="15.75" customHeight="1">
      <c r="A90" s="180"/>
      <c r="B90" s="180"/>
      <c r="C90" s="180"/>
      <c r="D90" s="606"/>
      <c r="E90" s="654"/>
      <c r="F90" s="655"/>
      <c r="G90" s="656"/>
      <c r="H90" s="607"/>
      <c r="I90" s="658"/>
      <c r="J90" s="579"/>
      <c r="L90" s="608"/>
      <c r="M90" s="180"/>
      <c r="N90" s="180"/>
      <c r="O90" s="180"/>
      <c r="P90" s="180"/>
      <c r="Q90" s="180"/>
      <c r="R90" s="180"/>
      <c r="S90" s="180"/>
      <c r="T90" s="180"/>
      <c r="U90" s="180"/>
      <c r="V90" s="180"/>
      <c r="W90" s="180"/>
      <c r="X90" s="180"/>
      <c r="Y90" s="180"/>
      <c r="Z90" s="180"/>
      <c r="AA90" s="180"/>
      <c r="AB90" s="180"/>
    </row>
    <row r="91" ht="15.75" customHeight="1">
      <c r="A91" s="195"/>
      <c r="B91" s="195"/>
      <c r="C91" s="195"/>
      <c r="D91" s="195"/>
      <c r="E91" s="195"/>
      <c r="F91" s="441"/>
      <c r="H91" s="660"/>
      <c r="M91" s="180"/>
      <c r="N91" s="180"/>
      <c r="O91" s="180"/>
      <c r="P91" s="180"/>
      <c r="Q91" s="180"/>
      <c r="R91" s="180"/>
      <c r="S91" s="180"/>
      <c r="T91" s="180"/>
      <c r="U91" s="180"/>
      <c r="V91" s="180"/>
      <c r="W91" s="180"/>
      <c r="X91" s="180"/>
      <c r="Y91" s="180"/>
      <c r="Z91" s="180"/>
      <c r="AA91" s="180"/>
      <c r="AB91" s="180"/>
    </row>
    <row r="92" ht="15.75" customHeight="1">
      <c r="A92" s="195"/>
      <c r="B92" s="661"/>
      <c r="C92" s="195"/>
      <c r="D92" s="195"/>
      <c r="E92" s="195"/>
      <c r="F92" s="441"/>
      <c r="G92" s="38"/>
      <c r="H92" s="617"/>
      <c r="I92" s="38"/>
      <c r="J92" s="177"/>
      <c r="K92" s="177"/>
      <c r="M92" s="180"/>
      <c r="N92" s="180"/>
      <c r="O92" s="180"/>
      <c r="P92" s="180"/>
      <c r="Q92" s="180"/>
      <c r="R92" s="180"/>
      <c r="S92" s="180"/>
      <c r="T92" s="180"/>
      <c r="U92" s="180"/>
      <c r="V92" s="180"/>
      <c r="W92" s="180"/>
      <c r="X92" s="180"/>
      <c r="Y92" s="180"/>
      <c r="Z92" s="180"/>
      <c r="AA92" s="180"/>
      <c r="AB92" s="180"/>
    </row>
    <row r="93" ht="15.75" customHeight="1">
      <c r="A93" s="601"/>
      <c r="F93" s="38"/>
      <c r="G93" s="38"/>
      <c r="H93" s="617"/>
      <c r="I93" s="38"/>
      <c r="J93" s="442"/>
    </row>
    <row r="94" ht="15.75" customHeight="1">
      <c r="A94" s="180"/>
      <c r="C94" s="180"/>
      <c r="D94" s="180"/>
      <c r="E94" s="180"/>
      <c r="F94" s="472"/>
      <c r="G94" s="662"/>
      <c r="H94" s="617"/>
      <c r="I94" s="38"/>
      <c r="J94" s="663"/>
      <c r="K94" s="663"/>
      <c r="L94" s="664"/>
      <c r="M94" s="25"/>
      <c r="N94" s="180"/>
      <c r="O94" s="180"/>
      <c r="P94" s="180"/>
      <c r="Q94" s="180"/>
      <c r="R94" s="180"/>
      <c r="S94" s="180"/>
      <c r="T94" s="180"/>
      <c r="U94" s="180"/>
      <c r="V94" s="180"/>
      <c r="W94" s="180"/>
      <c r="X94" s="180"/>
      <c r="Y94" s="180"/>
      <c r="Z94" s="180"/>
      <c r="AA94" s="180"/>
      <c r="AB94" s="180"/>
    </row>
    <row r="95" ht="15.75" customHeight="1">
      <c r="A95" s="231"/>
      <c r="B95" s="665"/>
      <c r="C95" s="665"/>
      <c r="D95" s="665"/>
      <c r="E95" s="665"/>
      <c r="F95" s="472"/>
      <c r="G95" s="541"/>
      <c r="H95" s="666"/>
      <c r="I95" s="472"/>
      <c r="J95" s="53"/>
      <c r="K95" s="177"/>
      <c r="L95" s="180"/>
      <c r="M95" s="180"/>
      <c r="N95" s="180"/>
      <c r="O95" s="180"/>
      <c r="P95" s="180"/>
      <c r="Q95" s="180"/>
      <c r="R95" s="180"/>
      <c r="S95" s="180"/>
      <c r="T95" s="180"/>
      <c r="U95" s="180"/>
      <c r="V95" s="180"/>
      <c r="W95" s="180"/>
      <c r="X95" s="180"/>
      <c r="Y95" s="180"/>
      <c r="Z95" s="180"/>
      <c r="AA95" s="180"/>
      <c r="AB95" s="180"/>
    </row>
    <row r="96" ht="15.75" customHeight="1">
      <c r="A96" s="25"/>
      <c r="B96" s="180"/>
      <c r="C96" s="180"/>
      <c r="D96" s="180"/>
      <c r="E96" s="180"/>
      <c r="F96" s="472"/>
      <c r="G96" s="472"/>
      <c r="H96" s="666"/>
      <c r="I96" s="472"/>
      <c r="J96" s="180"/>
      <c r="K96" s="180"/>
      <c r="L96" s="180"/>
      <c r="M96" s="180"/>
      <c r="N96" s="180"/>
      <c r="O96" s="180"/>
      <c r="P96" s="180"/>
      <c r="Q96" s="180"/>
      <c r="R96" s="180"/>
      <c r="S96" s="180"/>
      <c r="T96" s="180"/>
      <c r="U96" s="180"/>
      <c r="V96" s="180"/>
      <c r="W96" s="180"/>
      <c r="X96" s="180"/>
      <c r="Y96" s="180"/>
      <c r="Z96" s="180"/>
      <c r="AA96" s="180"/>
      <c r="AB96" s="180"/>
    </row>
    <row r="97" ht="15.75" customHeight="1">
      <c r="A97" s="25"/>
      <c r="B97" s="180"/>
      <c r="C97" s="180"/>
      <c r="D97" s="180"/>
      <c r="E97" s="180"/>
      <c r="F97" s="472"/>
      <c r="G97" s="472"/>
      <c r="H97" s="666"/>
      <c r="I97" s="472"/>
      <c r="J97" s="180"/>
      <c r="K97" s="180"/>
      <c r="L97" s="180"/>
      <c r="M97" s="180"/>
      <c r="N97" s="180"/>
      <c r="O97" s="180"/>
      <c r="P97" s="180"/>
      <c r="Q97" s="180"/>
      <c r="R97" s="180"/>
      <c r="S97" s="180"/>
      <c r="T97" s="180"/>
      <c r="U97" s="180"/>
      <c r="V97" s="180"/>
      <c r="W97" s="180"/>
      <c r="X97" s="180"/>
      <c r="Y97" s="180"/>
      <c r="Z97" s="180"/>
      <c r="AA97" s="180"/>
      <c r="AB97" s="180"/>
    </row>
    <row r="98" ht="15.75" customHeight="1">
      <c r="A98" s="667"/>
      <c r="B98" s="180"/>
      <c r="C98" s="180"/>
      <c r="D98" s="180"/>
      <c r="E98" s="180"/>
      <c r="F98" s="472"/>
      <c r="G98" s="472"/>
      <c r="H98" s="666"/>
      <c r="I98" s="472"/>
      <c r="J98" s="180"/>
      <c r="K98" s="180"/>
      <c r="L98" s="180"/>
      <c r="M98" s="180"/>
      <c r="N98" s="180"/>
      <c r="O98" s="180"/>
      <c r="P98" s="180"/>
      <c r="Q98" s="180"/>
      <c r="R98" s="180"/>
      <c r="S98" s="180"/>
      <c r="T98" s="180"/>
      <c r="U98" s="180"/>
      <c r="V98" s="180"/>
      <c r="W98" s="180"/>
      <c r="X98" s="180"/>
      <c r="Y98" s="180"/>
      <c r="Z98" s="180"/>
      <c r="AA98" s="180"/>
      <c r="AB98" s="180"/>
    </row>
    <row r="99" ht="15.75" customHeight="1">
      <c r="A99" s="25"/>
      <c r="B99" s="180"/>
      <c r="C99" s="180"/>
      <c r="D99" s="180"/>
      <c r="E99" s="180"/>
      <c r="F99" s="472"/>
      <c r="G99" s="472"/>
      <c r="H99" s="668"/>
      <c r="I99" s="669"/>
      <c r="J99" s="180"/>
      <c r="K99" s="180"/>
      <c r="L99" s="180"/>
      <c r="M99" s="642"/>
      <c r="N99" s="180"/>
      <c r="O99" s="180"/>
      <c r="P99" s="180"/>
      <c r="Q99" s="180"/>
      <c r="R99" s="180"/>
      <c r="S99" s="180"/>
      <c r="T99" s="180"/>
      <c r="U99" s="180"/>
      <c r="V99" s="180"/>
      <c r="W99" s="180"/>
      <c r="X99" s="180"/>
      <c r="Y99" s="180"/>
      <c r="Z99" s="180"/>
      <c r="AA99" s="180"/>
      <c r="AB99" s="180"/>
    </row>
    <row r="100" ht="15.75" customHeight="1">
      <c r="A100" s="25"/>
      <c r="B100" s="180"/>
      <c r="C100" s="180"/>
      <c r="D100" s="180"/>
      <c r="E100" s="180"/>
      <c r="F100" s="472"/>
      <c r="G100" s="472"/>
      <c r="H100" s="666"/>
      <c r="I100" s="472"/>
      <c r="J100" s="180"/>
      <c r="K100" s="180"/>
      <c r="L100" s="180"/>
      <c r="M100" s="180"/>
      <c r="N100" s="180"/>
      <c r="O100" s="180"/>
      <c r="P100" s="180"/>
      <c r="Q100" s="180"/>
      <c r="R100" s="180"/>
      <c r="S100" s="180"/>
      <c r="T100" s="180"/>
      <c r="U100" s="180"/>
      <c r="V100" s="180"/>
      <c r="W100" s="180"/>
      <c r="X100" s="180"/>
      <c r="Y100" s="180"/>
      <c r="Z100" s="180"/>
      <c r="AA100" s="180"/>
      <c r="AB100" s="180"/>
    </row>
    <row r="101" ht="15.75" customHeight="1">
      <c r="A101" s="25"/>
      <c r="B101" s="180"/>
      <c r="C101" s="180"/>
      <c r="D101" s="180"/>
      <c r="E101" s="180"/>
      <c r="F101" s="472"/>
      <c r="G101" s="472"/>
      <c r="H101" s="617"/>
      <c r="I101" s="38"/>
      <c r="J101" s="180"/>
      <c r="K101" s="180"/>
      <c r="L101" s="180"/>
      <c r="M101" s="180"/>
      <c r="N101" s="180"/>
      <c r="O101" s="180"/>
      <c r="P101" s="180"/>
      <c r="Q101" s="180"/>
      <c r="R101" s="180"/>
      <c r="S101" s="180"/>
      <c r="T101" s="180"/>
      <c r="U101" s="180"/>
      <c r="V101" s="180"/>
      <c r="W101" s="180"/>
      <c r="X101" s="180"/>
      <c r="Y101" s="180"/>
      <c r="Z101" s="180"/>
      <c r="AA101" s="180"/>
      <c r="AB101" s="180"/>
    </row>
    <row r="102" ht="15.75" customHeight="1">
      <c r="A102" s="25"/>
      <c r="B102" s="180"/>
      <c r="C102" s="180"/>
      <c r="D102" s="180"/>
      <c r="E102" s="180"/>
      <c r="F102" s="472"/>
      <c r="G102" s="472"/>
      <c r="H102" s="666"/>
      <c r="I102" s="472"/>
      <c r="J102" s="180"/>
      <c r="K102" s="180"/>
      <c r="L102" s="180"/>
      <c r="M102" s="180"/>
      <c r="N102" s="180"/>
      <c r="O102" s="180"/>
      <c r="P102" s="180"/>
      <c r="Q102" s="180"/>
      <c r="R102" s="180"/>
      <c r="S102" s="180"/>
      <c r="T102" s="180"/>
      <c r="U102" s="180"/>
      <c r="V102" s="180"/>
      <c r="W102" s="180"/>
      <c r="X102" s="180"/>
      <c r="Y102" s="180"/>
      <c r="Z102" s="180"/>
      <c r="AA102" s="180"/>
      <c r="AB102" s="180"/>
    </row>
    <row r="103" ht="15.75" customHeight="1">
      <c r="A103" s="25"/>
      <c r="B103" s="180"/>
      <c r="C103" s="180"/>
      <c r="D103" s="180"/>
      <c r="E103" s="180"/>
      <c r="F103" s="472"/>
      <c r="G103" s="472"/>
      <c r="H103" s="666"/>
      <c r="I103" s="472"/>
      <c r="J103" s="180"/>
      <c r="K103" s="180"/>
      <c r="L103" s="180"/>
      <c r="M103" s="180"/>
      <c r="N103" s="180"/>
      <c r="O103" s="180"/>
      <c r="P103" s="180"/>
      <c r="Q103" s="180"/>
      <c r="R103" s="180"/>
      <c r="S103" s="180"/>
      <c r="T103" s="180"/>
      <c r="U103" s="180"/>
      <c r="V103" s="180"/>
      <c r="W103" s="180"/>
      <c r="X103" s="180"/>
      <c r="Y103" s="180"/>
      <c r="Z103" s="180"/>
      <c r="AA103" s="180"/>
      <c r="AB103" s="180"/>
    </row>
    <row r="104" ht="15.75" customHeight="1">
      <c r="A104" s="25"/>
      <c r="B104" s="180"/>
      <c r="C104" s="180"/>
      <c r="D104" s="180"/>
      <c r="E104" s="180"/>
      <c r="F104" s="472"/>
      <c r="G104" s="472"/>
      <c r="H104" s="666"/>
      <c r="I104" s="472"/>
      <c r="J104" s="180"/>
      <c r="K104" s="180"/>
      <c r="L104" s="180"/>
      <c r="M104" s="180"/>
      <c r="N104" s="180"/>
      <c r="O104" s="180"/>
      <c r="P104" s="180"/>
      <c r="Q104" s="180"/>
      <c r="R104" s="180"/>
      <c r="S104" s="180"/>
      <c r="T104" s="180"/>
      <c r="U104" s="180"/>
      <c r="V104" s="180"/>
      <c r="W104" s="180"/>
      <c r="X104" s="180"/>
      <c r="Y104" s="180"/>
      <c r="Z104" s="180"/>
      <c r="AA104" s="180"/>
      <c r="AB104" s="180"/>
    </row>
    <row r="105" ht="15.75" customHeight="1">
      <c r="A105" s="25"/>
      <c r="B105" s="180"/>
      <c r="C105" s="180"/>
      <c r="D105" s="180"/>
      <c r="E105" s="180"/>
      <c r="F105" s="472"/>
      <c r="G105" s="472"/>
      <c r="H105" s="666"/>
      <c r="I105" s="472"/>
      <c r="J105" s="180"/>
      <c r="K105" s="180"/>
      <c r="L105" s="180"/>
      <c r="M105" s="180"/>
      <c r="N105" s="180"/>
      <c r="O105" s="180"/>
      <c r="P105" s="180"/>
      <c r="Q105" s="180"/>
      <c r="R105" s="180"/>
      <c r="S105" s="180"/>
      <c r="T105" s="180"/>
      <c r="U105" s="180"/>
      <c r="V105" s="180"/>
      <c r="W105" s="180"/>
      <c r="X105" s="180"/>
      <c r="Y105" s="180"/>
      <c r="Z105" s="180"/>
      <c r="AA105" s="180"/>
      <c r="AB105" s="180"/>
    </row>
    <row r="106" ht="15.75" customHeight="1">
      <c r="A106" s="25"/>
      <c r="B106" s="180"/>
      <c r="C106" s="180"/>
      <c r="D106" s="180"/>
      <c r="E106" s="180"/>
      <c r="F106" s="472"/>
      <c r="G106" s="472"/>
      <c r="H106" s="666"/>
      <c r="I106" s="472"/>
      <c r="J106" s="180"/>
      <c r="K106" s="180"/>
      <c r="L106" s="180"/>
      <c r="M106" s="180"/>
      <c r="N106" s="180"/>
      <c r="O106" s="180"/>
      <c r="P106" s="180"/>
      <c r="Q106" s="180"/>
      <c r="R106" s="180"/>
      <c r="S106" s="180"/>
      <c r="T106" s="180"/>
      <c r="U106" s="180"/>
      <c r="V106" s="180"/>
      <c r="W106" s="180"/>
      <c r="X106" s="180"/>
      <c r="Y106" s="180"/>
      <c r="Z106" s="180"/>
      <c r="AA106" s="180"/>
      <c r="AB106" s="180"/>
    </row>
    <row r="107" ht="15.75" customHeight="1">
      <c r="B107" s="180"/>
      <c r="C107" s="180"/>
      <c r="D107" s="180"/>
      <c r="E107" s="180"/>
      <c r="F107" s="472"/>
      <c r="G107" s="472"/>
      <c r="H107" s="666"/>
      <c r="I107" s="472"/>
      <c r="J107" s="180"/>
      <c r="K107" s="180"/>
      <c r="L107" s="180"/>
      <c r="M107" s="180"/>
      <c r="N107" s="180"/>
      <c r="O107" s="180"/>
      <c r="P107" s="180"/>
      <c r="Q107" s="180"/>
      <c r="R107" s="180"/>
      <c r="S107" s="180"/>
      <c r="T107" s="180"/>
      <c r="U107" s="180"/>
      <c r="V107" s="180"/>
      <c r="W107" s="180"/>
      <c r="X107" s="180"/>
      <c r="Y107" s="180"/>
      <c r="Z107" s="180"/>
      <c r="AA107" s="180"/>
      <c r="AB107" s="180"/>
    </row>
    <row r="108" ht="15.75" customHeight="1">
      <c r="B108" s="180"/>
      <c r="C108" s="180"/>
      <c r="D108" s="180"/>
      <c r="E108" s="180"/>
      <c r="F108" s="472"/>
      <c r="G108" s="472"/>
      <c r="H108" s="666"/>
      <c r="I108" s="472"/>
      <c r="J108" s="180"/>
      <c r="K108" s="180"/>
      <c r="L108" s="180"/>
      <c r="M108" s="180"/>
      <c r="N108" s="180"/>
      <c r="O108" s="180"/>
      <c r="P108" s="180"/>
      <c r="Q108" s="180"/>
      <c r="R108" s="180"/>
      <c r="S108" s="180"/>
      <c r="T108" s="180"/>
      <c r="U108" s="180"/>
      <c r="V108" s="180"/>
      <c r="W108" s="180"/>
      <c r="X108" s="180"/>
      <c r="Y108" s="180"/>
      <c r="Z108" s="180"/>
      <c r="AA108" s="180"/>
      <c r="AB108" s="180"/>
    </row>
    <row r="109" ht="15.75" customHeight="1">
      <c r="B109" s="180"/>
      <c r="C109" s="180"/>
      <c r="D109" s="180"/>
      <c r="E109" s="180"/>
      <c r="F109" s="472"/>
      <c r="G109" s="472"/>
      <c r="H109" s="666"/>
      <c r="I109" s="472"/>
      <c r="J109" s="180"/>
      <c r="K109" s="180"/>
      <c r="L109" s="180"/>
      <c r="M109" s="180"/>
      <c r="N109" s="180"/>
      <c r="O109" s="180"/>
      <c r="P109" s="180"/>
      <c r="Q109" s="180"/>
      <c r="R109" s="180"/>
      <c r="S109" s="180"/>
      <c r="T109" s="180"/>
      <c r="U109" s="180"/>
      <c r="V109" s="180"/>
      <c r="W109" s="180"/>
      <c r="X109" s="180"/>
      <c r="Y109" s="180"/>
      <c r="Z109" s="180"/>
      <c r="AA109" s="180"/>
      <c r="AB109" s="180"/>
    </row>
    <row r="110" ht="15.75" customHeight="1">
      <c r="A110" s="180"/>
      <c r="B110" s="180"/>
      <c r="C110" s="180"/>
      <c r="D110" s="180"/>
      <c r="E110" s="180"/>
      <c r="F110" s="472"/>
      <c r="G110" s="472"/>
      <c r="H110" s="666"/>
      <c r="I110" s="472"/>
      <c r="J110" s="180"/>
      <c r="K110" s="180"/>
      <c r="L110" s="180"/>
      <c r="M110" s="180"/>
      <c r="N110" s="180"/>
      <c r="O110" s="180"/>
      <c r="P110" s="180"/>
      <c r="Q110" s="180"/>
      <c r="R110" s="180"/>
      <c r="S110" s="180"/>
      <c r="T110" s="180"/>
      <c r="U110" s="180"/>
      <c r="V110" s="180"/>
      <c r="W110" s="180"/>
      <c r="X110" s="180"/>
      <c r="Y110" s="180"/>
      <c r="Z110" s="180"/>
      <c r="AA110" s="180"/>
      <c r="AB110" s="180"/>
    </row>
    <row r="111" ht="15.75" customHeight="1">
      <c r="A111" s="227"/>
      <c r="B111" s="180"/>
      <c r="C111" s="180"/>
      <c r="D111" s="180"/>
      <c r="E111" s="180"/>
      <c r="F111" s="472"/>
      <c r="G111" s="472"/>
      <c r="H111" s="666"/>
      <c r="I111" s="472"/>
      <c r="J111" s="180"/>
      <c r="K111" s="180"/>
      <c r="L111" s="180"/>
      <c r="M111" s="180"/>
      <c r="N111" s="180"/>
      <c r="O111" s="180"/>
      <c r="P111" s="180"/>
      <c r="Q111" s="180"/>
      <c r="R111" s="180"/>
      <c r="S111" s="180"/>
      <c r="T111" s="180"/>
      <c r="U111" s="180"/>
      <c r="V111" s="180"/>
      <c r="W111" s="180"/>
      <c r="X111" s="180"/>
      <c r="Y111" s="180"/>
      <c r="Z111" s="180"/>
      <c r="AA111" s="180"/>
      <c r="AB111" s="180"/>
    </row>
    <row r="112" ht="15.75" customHeight="1">
      <c r="A112" s="228"/>
      <c r="B112" s="180"/>
      <c r="C112" s="180"/>
      <c r="D112" s="180"/>
      <c r="E112" s="180"/>
      <c r="F112" s="472"/>
      <c r="G112" s="472"/>
      <c r="H112" s="666"/>
      <c r="I112" s="472"/>
      <c r="J112" s="180"/>
      <c r="K112" s="180"/>
      <c r="L112" s="180"/>
      <c r="M112" s="180"/>
      <c r="N112" s="180"/>
      <c r="O112" s="180"/>
      <c r="P112" s="180"/>
      <c r="Q112" s="180"/>
      <c r="R112" s="180"/>
      <c r="S112" s="180"/>
      <c r="T112" s="180"/>
      <c r="U112" s="180"/>
      <c r="V112" s="180"/>
      <c r="W112" s="180"/>
      <c r="X112" s="180"/>
      <c r="Y112" s="180"/>
      <c r="Z112" s="180"/>
      <c r="AA112" s="180"/>
      <c r="AB112" s="180"/>
    </row>
    <row r="113" ht="15.75" customHeight="1">
      <c r="A113" s="228"/>
      <c r="B113" s="180"/>
      <c r="C113" s="180"/>
      <c r="D113" s="180"/>
      <c r="E113" s="180"/>
      <c r="F113" s="472"/>
      <c r="G113" s="472"/>
      <c r="H113" s="666"/>
      <c r="I113" s="472"/>
      <c r="J113" s="180"/>
      <c r="K113" s="180"/>
      <c r="L113" s="180"/>
      <c r="M113" s="180"/>
      <c r="N113" s="180"/>
      <c r="O113" s="180"/>
      <c r="P113" s="180"/>
      <c r="Q113" s="180"/>
      <c r="R113" s="180"/>
      <c r="S113" s="180"/>
      <c r="T113" s="180"/>
      <c r="U113" s="180"/>
      <c r="V113" s="180"/>
      <c r="W113" s="180"/>
      <c r="X113" s="180"/>
      <c r="Y113" s="180"/>
      <c r="Z113" s="180"/>
      <c r="AA113" s="180"/>
      <c r="AB113" s="180"/>
    </row>
    <row r="114" ht="15.75" customHeight="1">
      <c r="B114" s="180"/>
      <c r="C114" s="180"/>
      <c r="D114" s="180"/>
      <c r="E114" s="180"/>
      <c r="F114" s="472"/>
      <c r="G114" s="472"/>
      <c r="H114" s="666"/>
      <c r="I114" s="472"/>
      <c r="J114" s="180"/>
      <c r="K114" s="180"/>
      <c r="L114" s="180"/>
      <c r="M114" s="180"/>
      <c r="N114" s="180"/>
      <c r="O114" s="180"/>
      <c r="P114" s="180"/>
      <c r="Q114" s="180"/>
      <c r="R114" s="180"/>
      <c r="S114" s="180"/>
      <c r="T114" s="180"/>
      <c r="U114" s="180"/>
      <c r="V114" s="180"/>
      <c r="W114" s="180"/>
      <c r="X114" s="180"/>
      <c r="Y114" s="180"/>
      <c r="Z114" s="180"/>
      <c r="AA114" s="180"/>
      <c r="AB114" s="180"/>
    </row>
    <row r="115" ht="15.75" customHeight="1">
      <c r="A115" s="229"/>
      <c r="B115" s="180"/>
      <c r="C115" s="180"/>
      <c r="D115" s="180"/>
      <c r="E115" s="180"/>
      <c r="F115" s="472"/>
      <c r="G115" s="472"/>
      <c r="H115" s="666"/>
      <c r="I115" s="472"/>
      <c r="J115" s="180"/>
      <c r="K115" s="180"/>
      <c r="L115" s="180"/>
      <c r="M115" s="180"/>
      <c r="N115" s="180"/>
      <c r="O115" s="180"/>
      <c r="P115" s="180"/>
      <c r="Q115" s="180"/>
      <c r="R115" s="180"/>
      <c r="S115" s="180"/>
      <c r="T115" s="180"/>
      <c r="U115" s="180"/>
      <c r="V115" s="180"/>
      <c r="W115" s="180"/>
      <c r="X115" s="180"/>
      <c r="Y115" s="180"/>
      <c r="Z115" s="180"/>
      <c r="AA115" s="180"/>
      <c r="AB115" s="180"/>
    </row>
    <row r="116" ht="15.75" customHeight="1">
      <c r="A116" s="180"/>
      <c r="B116" s="180"/>
      <c r="C116" s="180"/>
      <c r="D116" s="180"/>
      <c r="E116" s="180"/>
      <c r="F116" s="472"/>
      <c r="G116" s="472"/>
      <c r="H116" s="666"/>
      <c r="I116" s="472"/>
      <c r="J116" s="180"/>
      <c r="K116" s="180"/>
      <c r="L116" s="180"/>
      <c r="M116" s="180"/>
      <c r="N116" s="180"/>
      <c r="O116" s="180"/>
      <c r="P116" s="180"/>
      <c r="Q116" s="180"/>
      <c r="R116" s="180"/>
      <c r="S116" s="180"/>
      <c r="T116" s="180"/>
      <c r="U116" s="180"/>
      <c r="V116" s="180"/>
      <c r="W116" s="180"/>
      <c r="X116" s="180"/>
      <c r="Y116" s="180"/>
      <c r="Z116" s="180"/>
      <c r="AA116" s="180"/>
      <c r="AB116" s="180"/>
    </row>
    <row r="117" ht="15.75" customHeight="1">
      <c r="A117" s="230"/>
      <c r="B117" s="180"/>
      <c r="C117" s="180"/>
      <c r="D117" s="180"/>
      <c r="E117" s="180"/>
      <c r="F117" s="472"/>
      <c r="G117" s="472"/>
      <c r="H117" s="666"/>
      <c r="I117" s="472"/>
      <c r="J117" s="180"/>
      <c r="K117" s="180"/>
      <c r="L117" s="180"/>
      <c r="M117" s="180"/>
      <c r="N117" s="180"/>
      <c r="O117" s="180"/>
      <c r="P117" s="180"/>
      <c r="Q117" s="180"/>
      <c r="R117" s="180"/>
      <c r="S117" s="180"/>
      <c r="T117" s="180"/>
      <c r="U117" s="180"/>
      <c r="V117" s="180"/>
      <c r="W117" s="180"/>
      <c r="X117" s="180"/>
      <c r="Y117" s="180"/>
      <c r="Z117" s="180"/>
      <c r="AA117" s="180"/>
      <c r="AB117" s="180"/>
    </row>
    <row r="118" ht="15.75" customHeight="1">
      <c r="A118" s="230"/>
      <c r="B118" s="180"/>
      <c r="C118" s="180"/>
      <c r="D118" s="180"/>
      <c r="E118" s="180"/>
      <c r="F118" s="472"/>
      <c r="G118" s="472"/>
      <c r="H118" s="666"/>
      <c r="I118" s="472"/>
      <c r="J118" s="180"/>
      <c r="K118" s="180"/>
      <c r="L118" s="180"/>
      <c r="M118" s="180"/>
      <c r="N118" s="180"/>
      <c r="O118" s="180"/>
      <c r="P118" s="180"/>
      <c r="Q118" s="180"/>
      <c r="R118" s="180"/>
      <c r="S118" s="180"/>
      <c r="T118" s="180"/>
      <c r="U118" s="180"/>
      <c r="V118" s="180"/>
      <c r="W118" s="180"/>
      <c r="X118" s="180"/>
      <c r="Y118" s="180"/>
      <c r="Z118" s="180"/>
      <c r="AA118" s="180"/>
      <c r="AB118" s="180"/>
    </row>
    <row r="119" ht="15.75" customHeight="1">
      <c r="A119" s="180"/>
      <c r="B119" s="180"/>
      <c r="C119" s="180"/>
      <c r="D119" s="180"/>
      <c r="E119" s="180"/>
      <c r="F119" s="472"/>
      <c r="G119" s="472"/>
      <c r="H119" s="666"/>
      <c r="I119" s="472"/>
      <c r="J119" s="180"/>
      <c r="K119" s="180"/>
      <c r="L119" s="180"/>
      <c r="M119" s="180"/>
      <c r="N119" s="180"/>
      <c r="O119" s="180"/>
      <c r="P119" s="180"/>
      <c r="Q119" s="180"/>
      <c r="R119" s="180"/>
      <c r="S119" s="180"/>
      <c r="T119" s="180"/>
      <c r="U119" s="180"/>
      <c r="V119" s="180"/>
      <c r="W119" s="180"/>
      <c r="X119" s="180"/>
      <c r="Y119" s="180"/>
      <c r="Z119" s="180"/>
      <c r="AA119" s="180"/>
      <c r="AB119" s="180"/>
    </row>
    <row r="120" ht="15.75" customHeight="1">
      <c r="A120" s="180"/>
      <c r="B120" s="180"/>
      <c r="C120" s="180"/>
      <c r="D120" s="180"/>
      <c r="E120" s="180"/>
      <c r="F120" s="472"/>
      <c r="G120" s="472"/>
      <c r="H120" s="666"/>
      <c r="I120" s="472"/>
      <c r="J120" s="180"/>
      <c r="K120" s="180"/>
      <c r="L120" s="180"/>
      <c r="M120" s="180"/>
      <c r="N120" s="180"/>
      <c r="O120" s="180"/>
      <c r="P120" s="180"/>
      <c r="Q120" s="180"/>
      <c r="R120" s="180"/>
      <c r="S120" s="180"/>
      <c r="T120" s="180"/>
      <c r="U120" s="180"/>
      <c r="V120" s="180"/>
      <c r="W120" s="180"/>
      <c r="X120" s="180"/>
      <c r="Y120" s="180"/>
      <c r="Z120" s="180"/>
      <c r="AA120" s="180"/>
      <c r="AB120" s="180"/>
    </row>
    <row r="121" ht="15.75" customHeight="1">
      <c r="A121" s="180"/>
      <c r="B121" s="180"/>
      <c r="C121" s="180"/>
      <c r="D121" s="180"/>
      <c r="E121" s="180"/>
      <c r="F121" s="472"/>
      <c r="G121" s="472"/>
      <c r="H121" s="666"/>
      <c r="I121" s="472"/>
      <c r="J121" s="180"/>
      <c r="K121" s="180"/>
      <c r="L121" s="180"/>
      <c r="M121" s="180"/>
      <c r="N121" s="180"/>
      <c r="O121" s="180"/>
      <c r="P121" s="180"/>
      <c r="Q121" s="180"/>
      <c r="R121" s="180"/>
      <c r="S121" s="180"/>
      <c r="T121" s="180"/>
      <c r="U121" s="180"/>
      <c r="V121" s="180"/>
      <c r="W121" s="180"/>
      <c r="X121" s="180"/>
      <c r="Y121" s="180"/>
      <c r="Z121" s="180"/>
      <c r="AA121" s="180"/>
      <c r="AB121" s="180"/>
    </row>
    <row r="122" ht="15.75" customHeight="1">
      <c r="A122" s="180"/>
      <c r="B122" s="180"/>
      <c r="C122" s="180"/>
      <c r="D122" s="180"/>
      <c r="E122" s="180"/>
      <c r="F122" s="472"/>
      <c r="G122" s="472"/>
      <c r="H122" s="666"/>
      <c r="I122" s="472"/>
      <c r="J122" s="180"/>
      <c r="K122" s="180"/>
      <c r="L122" s="180"/>
      <c r="M122" s="180"/>
      <c r="N122" s="180"/>
      <c r="O122" s="180"/>
      <c r="P122" s="180"/>
      <c r="Q122" s="180"/>
      <c r="R122" s="180"/>
      <c r="S122" s="180"/>
      <c r="T122" s="180"/>
      <c r="U122" s="180"/>
      <c r="V122" s="180"/>
      <c r="W122" s="180"/>
      <c r="X122" s="180"/>
      <c r="Y122" s="180"/>
      <c r="Z122" s="180"/>
      <c r="AA122" s="180"/>
      <c r="AB122" s="180"/>
    </row>
    <row r="123" ht="15.75" customHeight="1">
      <c r="A123" s="180"/>
      <c r="B123" s="180"/>
      <c r="C123" s="180"/>
      <c r="D123" s="180"/>
      <c r="E123" s="180"/>
      <c r="F123" s="472"/>
      <c r="G123" s="472"/>
      <c r="H123" s="666"/>
      <c r="I123" s="472"/>
      <c r="J123" s="180"/>
      <c r="K123" s="180"/>
      <c r="L123" s="180"/>
      <c r="M123" s="180"/>
      <c r="N123" s="180"/>
      <c r="O123" s="180"/>
      <c r="P123" s="180"/>
      <c r="Q123" s="180"/>
      <c r="R123" s="180"/>
      <c r="S123" s="180"/>
      <c r="T123" s="180"/>
      <c r="U123" s="180"/>
      <c r="V123" s="180"/>
      <c r="W123" s="180"/>
      <c r="X123" s="180"/>
      <c r="Y123" s="180"/>
      <c r="Z123" s="180"/>
      <c r="AA123" s="180"/>
      <c r="AB123" s="180"/>
    </row>
    <row r="124" ht="15.75" customHeight="1">
      <c r="A124" s="180"/>
      <c r="B124" s="180"/>
      <c r="C124" s="180"/>
      <c r="D124" s="180"/>
      <c r="E124" s="180"/>
      <c r="F124" s="472"/>
      <c r="G124" s="472"/>
      <c r="H124" s="666"/>
      <c r="I124" s="472"/>
      <c r="J124" s="180"/>
      <c r="K124" s="180"/>
      <c r="L124" s="180"/>
      <c r="M124" s="180"/>
      <c r="N124" s="180"/>
      <c r="O124" s="180"/>
      <c r="P124" s="180"/>
      <c r="Q124" s="180"/>
      <c r="R124" s="180"/>
      <c r="S124" s="180"/>
      <c r="T124" s="180"/>
      <c r="U124" s="180"/>
      <c r="V124" s="180"/>
      <c r="W124" s="180"/>
      <c r="X124" s="180"/>
      <c r="Y124" s="180"/>
      <c r="Z124" s="180"/>
      <c r="AA124" s="180"/>
      <c r="AB124" s="180"/>
    </row>
    <row r="125" ht="15.75" customHeight="1">
      <c r="A125" s="180"/>
      <c r="B125" s="180"/>
      <c r="C125" s="180"/>
      <c r="D125" s="180"/>
      <c r="E125" s="180"/>
      <c r="F125" s="472"/>
      <c r="G125" s="472"/>
      <c r="H125" s="666"/>
      <c r="I125" s="472"/>
      <c r="J125" s="180"/>
      <c r="K125" s="180"/>
      <c r="L125" s="180"/>
      <c r="M125" s="180"/>
      <c r="N125" s="180"/>
      <c r="O125" s="180"/>
      <c r="P125" s="180"/>
      <c r="Q125" s="180"/>
      <c r="R125" s="180"/>
      <c r="S125" s="180"/>
      <c r="T125" s="180"/>
      <c r="U125" s="180"/>
      <c r="V125" s="180"/>
      <c r="W125" s="180"/>
      <c r="X125" s="180"/>
      <c r="Y125" s="180"/>
      <c r="Z125" s="180"/>
      <c r="AA125" s="180"/>
      <c r="AB125" s="180"/>
    </row>
    <row r="126" ht="15.75" customHeight="1">
      <c r="A126" s="180"/>
      <c r="B126" s="180"/>
      <c r="C126" s="180"/>
      <c r="D126" s="180"/>
      <c r="E126" s="180"/>
      <c r="F126" s="472"/>
      <c r="G126" s="472"/>
      <c r="H126" s="666"/>
      <c r="I126" s="472"/>
      <c r="J126" s="180"/>
      <c r="K126" s="180"/>
      <c r="L126" s="180"/>
      <c r="M126" s="180"/>
      <c r="N126" s="180"/>
      <c r="O126" s="180"/>
      <c r="P126" s="180"/>
      <c r="Q126" s="180"/>
      <c r="R126" s="180"/>
      <c r="S126" s="180"/>
      <c r="T126" s="180"/>
      <c r="U126" s="180"/>
      <c r="V126" s="180"/>
      <c r="W126" s="180"/>
      <c r="X126" s="180"/>
      <c r="Y126" s="180"/>
      <c r="Z126" s="180"/>
      <c r="AA126" s="180"/>
      <c r="AB126" s="180"/>
    </row>
    <row r="127" ht="15.75" customHeight="1">
      <c r="A127" s="180"/>
      <c r="B127" s="180"/>
      <c r="C127" s="180"/>
      <c r="D127" s="180"/>
      <c r="E127" s="180"/>
      <c r="F127" s="472"/>
      <c r="G127" s="472"/>
      <c r="H127" s="666"/>
      <c r="I127" s="472"/>
      <c r="J127" s="180"/>
      <c r="K127" s="180"/>
      <c r="L127" s="180"/>
      <c r="M127" s="180"/>
      <c r="N127" s="180"/>
      <c r="O127" s="180"/>
      <c r="P127" s="180"/>
      <c r="Q127" s="180"/>
      <c r="R127" s="180"/>
      <c r="S127" s="180"/>
      <c r="T127" s="180"/>
      <c r="U127" s="180"/>
      <c r="V127" s="180"/>
      <c r="W127" s="180"/>
      <c r="X127" s="180"/>
      <c r="Y127" s="180"/>
      <c r="Z127" s="180"/>
      <c r="AA127" s="180"/>
      <c r="AB127" s="180"/>
    </row>
    <row r="128" ht="15.75" customHeight="1">
      <c r="A128" s="180"/>
      <c r="B128" s="180"/>
      <c r="C128" s="180"/>
      <c r="D128" s="180"/>
      <c r="E128" s="180"/>
      <c r="F128" s="472"/>
      <c r="G128" s="472"/>
      <c r="H128" s="666"/>
      <c r="I128" s="472"/>
      <c r="J128" s="180"/>
      <c r="K128" s="180"/>
      <c r="L128" s="180"/>
      <c r="M128" s="180"/>
      <c r="N128" s="180"/>
      <c r="O128" s="180"/>
      <c r="P128" s="180"/>
      <c r="Q128" s="180"/>
      <c r="R128" s="180"/>
      <c r="S128" s="180"/>
      <c r="T128" s="180"/>
      <c r="U128" s="180"/>
      <c r="V128" s="180"/>
      <c r="W128" s="180"/>
      <c r="X128" s="180"/>
      <c r="Y128" s="180"/>
      <c r="Z128" s="180"/>
      <c r="AA128" s="180"/>
      <c r="AB128" s="180"/>
    </row>
    <row r="129" ht="15.75" customHeight="1">
      <c r="A129" s="180"/>
      <c r="B129" s="180"/>
      <c r="C129" s="180"/>
      <c r="D129" s="180"/>
      <c r="E129" s="180"/>
      <c r="F129" s="472"/>
      <c r="G129" s="472"/>
      <c r="H129" s="666"/>
      <c r="I129" s="472"/>
      <c r="J129" s="180"/>
      <c r="K129" s="180"/>
      <c r="L129" s="180"/>
      <c r="M129" s="180"/>
      <c r="N129" s="180"/>
      <c r="O129" s="180"/>
      <c r="P129" s="180"/>
      <c r="Q129" s="180"/>
      <c r="R129" s="180"/>
      <c r="S129" s="180"/>
      <c r="T129" s="180"/>
      <c r="U129" s="180"/>
      <c r="V129" s="180"/>
      <c r="W129" s="180"/>
      <c r="X129" s="180"/>
      <c r="Y129" s="180"/>
      <c r="Z129" s="180"/>
      <c r="AA129" s="180"/>
      <c r="AB129" s="180"/>
    </row>
    <row r="130" ht="15.75" customHeight="1">
      <c r="A130" s="180"/>
      <c r="B130" s="180"/>
      <c r="C130" s="180"/>
      <c r="D130" s="180"/>
      <c r="E130" s="180"/>
      <c r="F130" s="472"/>
      <c r="G130" s="472"/>
      <c r="H130" s="666"/>
      <c r="I130" s="472"/>
      <c r="J130" s="180"/>
      <c r="K130" s="180"/>
      <c r="L130" s="180"/>
      <c r="M130" s="180"/>
      <c r="N130" s="180"/>
      <c r="O130" s="180"/>
      <c r="P130" s="180"/>
      <c r="Q130" s="180"/>
      <c r="R130" s="180"/>
      <c r="S130" s="180"/>
      <c r="T130" s="180"/>
      <c r="U130" s="180"/>
      <c r="V130" s="180"/>
      <c r="W130" s="180"/>
      <c r="X130" s="180"/>
      <c r="Y130" s="180"/>
      <c r="Z130" s="180"/>
      <c r="AA130" s="180"/>
      <c r="AB130" s="180"/>
    </row>
    <row r="131" ht="15.75" customHeight="1">
      <c r="A131" s="180"/>
      <c r="B131" s="180"/>
      <c r="C131" s="180"/>
      <c r="D131" s="180"/>
      <c r="E131" s="180"/>
      <c r="F131" s="472"/>
      <c r="G131" s="472"/>
      <c r="H131" s="666"/>
      <c r="I131" s="472"/>
      <c r="J131" s="180"/>
      <c r="K131" s="180"/>
      <c r="L131" s="180"/>
      <c r="M131" s="180"/>
      <c r="N131" s="180"/>
      <c r="O131" s="180"/>
      <c r="P131" s="180"/>
      <c r="Q131" s="180"/>
      <c r="R131" s="180"/>
      <c r="S131" s="180"/>
      <c r="T131" s="180"/>
      <c r="U131" s="180"/>
      <c r="V131" s="180"/>
      <c r="W131" s="180"/>
      <c r="X131" s="180"/>
      <c r="Y131" s="180"/>
      <c r="Z131" s="180"/>
      <c r="AA131" s="180"/>
      <c r="AB131" s="180"/>
    </row>
    <row r="132" ht="15.75" customHeight="1">
      <c r="A132" s="180"/>
      <c r="B132" s="180"/>
      <c r="C132" s="180"/>
      <c r="D132" s="180"/>
      <c r="E132" s="180"/>
      <c r="F132" s="472"/>
      <c r="G132" s="472"/>
      <c r="H132" s="666"/>
      <c r="I132" s="472"/>
      <c r="J132" s="180"/>
      <c r="K132" s="180"/>
      <c r="L132" s="180"/>
      <c r="M132" s="180"/>
      <c r="N132" s="180"/>
      <c r="O132" s="180"/>
      <c r="P132" s="180"/>
      <c r="Q132" s="180"/>
      <c r="R132" s="180"/>
      <c r="S132" s="180"/>
      <c r="T132" s="180"/>
      <c r="U132" s="180"/>
      <c r="V132" s="180"/>
      <c r="W132" s="180"/>
      <c r="X132" s="180"/>
      <c r="Y132" s="180"/>
      <c r="Z132" s="180"/>
      <c r="AA132" s="180"/>
      <c r="AB132" s="180"/>
    </row>
    <row r="133" ht="15.75" customHeight="1">
      <c r="A133" s="180"/>
      <c r="B133" s="180"/>
      <c r="C133" s="180"/>
      <c r="D133" s="180"/>
      <c r="E133" s="180"/>
      <c r="F133" s="472"/>
      <c r="G133" s="472"/>
      <c r="H133" s="666"/>
      <c r="I133" s="472"/>
      <c r="J133" s="180"/>
      <c r="K133" s="180"/>
      <c r="L133" s="180"/>
      <c r="M133" s="180"/>
      <c r="N133" s="180"/>
      <c r="O133" s="180"/>
      <c r="P133" s="180"/>
      <c r="Q133" s="180"/>
      <c r="R133" s="180"/>
      <c r="S133" s="180"/>
      <c r="T133" s="180"/>
      <c r="U133" s="180"/>
      <c r="V133" s="180"/>
      <c r="W133" s="180"/>
      <c r="X133" s="180"/>
      <c r="Y133" s="180"/>
      <c r="Z133" s="180"/>
      <c r="AA133" s="180"/>
      <c r="AB133" s="180"/>
    </row>
    <row r="134" ht="15.75" customHeight="1">
      <c r="A134" s="180"/>
      <c r="B134" s="180"/>
      <c r="C134" s="180"/>
      <c r="D134" s="180"/>
      <c r="E134" s="180"/>
      <c r="F134" s="472"/>
      <c r="G134" s="472"/>
      <c r="H134" s="666"/>
      <c r="I134" s="472"/>
      <c r="J134" s="180"/>
      <c r="K134" s="180"/>
      <c r="L134" s="180"/>
      <c r="M134" s="180"/>
      <c r="N134" s="180"/>
      <c r="O134" s="180"/>
      <c r="P134" s="180"/>
      <c r="Q134" s="180"/>
      <c r="R134" s="180"/>
      <c r="S134" s="180"/>
      <c r="T134" s="180"/>
      <c r="U134" s="180"/>
      <c r="V134" s="180"/>
      <c r="W134" s="180"/>
      <c r="X134" s="180"/>
      <c r="Y134" s="180"/>
      <c r="Z134" s="180"/>
      <c r="AA134" s="180"/>
      <c r="AB134" s="180"/>
    </row>
    <row r="135" ht="15.75" customHeight="1">
      <c r="A135" s="180"/>
      <c r="B135" s="180"/>
      <c r="C135" s="180"/>
      <c r="D135" s="180"/>
      <c r="E135" s="180"/>
      <c r="F135" s="472"/>
      <c r="G135" s="472"/>
      <c r="H135" s="666"/>
      <c r="I135" s="472"/>
      <c r="J135" s="180"/>
      <c r="K135" s="180"/>
      <c r="L135" s="180"/>
      <c r="M135" s="180"/>
      <c r="N135" s="180"/>
      <c r="O135" s="180"/>
      <c r="P135" s="180"/>
      <c r="Q135" s="180"/>
      <c r="R135" s="180"/>
      <c r="S135" s="180"/>
      <c r="T135" s="180"/>
      <c r="U135" s="180"/>
      <c r="V135" s="180"/>
      <c r="W135" s="180"/>
      <c r="X135" s="180"/>
      <c r="Y135" s="180"/>
      <c r="Z135" s="180"/>
      <c r="AA135" s="180"/>
      <c r="AB135" s="180"/>
    </row>
    <row r="136" ht="15.75" customHeight="1">
      <c r="A136" s="180"/>
      <c r="B136" s="180"/>
      <c r="C136" s="180"/>
      <c r="D136" s="180"/>
      <c r="E136" s="180"/>
      <c r="F136" s="472"/>
      <c r="G136" s="472"/>
      <c r="H136" s="666"/>
      <c r="I136" s="472"/>
      <c r="J136" s="180"/>
      <c r="K136" s="180"/>
      <c r="L136" s="180"/>
      <c r="M136" s="180"/>
      <c r="N136" s="180"/>
      <c r="O136" s="180"/>
      <c r="P136" s="180"/>
      <c r="Q136" s="180"/>
      <c r="R136" s="180"/>
      <c r="S136" s="180"/>
      <c r="T136" s="180"/>
      <c r="U136" s="180"/>
      <c r="V136" s="180"/>
      <c r="W136" s="180"/>
      <c r="X136" s="180"/>
      <c r="Y136" s="180"/>
      <c r="Z136" s="180"/>
      <c r="AA136" s="180"/>
      <c r="AB136" s="180"/>
    </row>
    <row r="137" ht="15.75" customHeight="1">
      <c r="A137" s="180"/>
      <c r="B137" s="180"/>
      <c r="C137" s="180"/>
      <c r="D137" s="180"/>
      <c r="E137" s="180"/>
      <c r="F137" s="472"/>
      <c r="G137" s="472"/>
      <c r="H137" s="666"/>
      <c r="I137" s="472"/>
      <c r="J137" s="180"/>
      <c r="K137" s="180"/>
      <c r="L137" s="180"/>
      <c r="M137" s="180"/>
      <c r="N137" s="180"/>
      <c r="O137" s="180"/>
      <c r="P137" s="180"/>
      <c r="Q137" s="180"/>
      <c r="R137" s="180"/>
      <c r="S137" s="180"/>
      <c r="T137" s="180"/>
      <c r="U137" s="180"/>
      <c r="V137" s="180"/>
      <c r="W137" s="180"/>
      <c r="X137" s="180"/>
      <c r="Y137" s="180"/>
      <c r="Z137" s="180"/>
      <c r="AA137" s="180"/>
      <c r="AB137" s="180"/>
    </row>
    <row r="138" ht="15.75" customHeight="1">
      <c r="A138" s="180"/>
      <c r="B138" s="180"/>
      <c r="C138" s="180"/>
      <c r="D138" s="180"/>
      <c r="E138" s="180"/>
      <c r="F138" s="472"/>
      <c r="G138" s="472"/>
      <c r="H138" s="666"/>
      <c r="I138" s="472"/>
      <c r="J138" s="180"/>
      <c r="K138" s="180"/>
      <c r="L138" s="180"/>
      <c r="M138" s="180"/>
      <c r="N138" s="180"/>
      <c r="O138" s="180"/>
      <c r="P138" s="180"/>
      <c r="Q138" s="180"/>
      <c r="R138" s="180"/>
      <c r="S138" s="180"/>
      <c r="T138" s="180"/>
      <c r="U138" s="180"/>
      <c r="V138" s="180"/>
      <c r="W138" s="180"/>
      <c r="X138" s="180"/>
      <c r="Y138" s="180"/>
      <c r="Z138" s="180"/>
      <c r="AA138" s="180"/>
      <c r="AB138" s="180"/>
    </row>
    <row r="139" ht="15.75" customHeight="1">
      <c r="A139" s="180"/>
      <c r="B139" s="180"/>
      <c r="C139" s="180"/>
      <c r="D139" s="180"/>
      <c r="E139" s="180"/>
      <c r="F139" s="472"/>
      <c r="G139" s="472"/>
      <c r="H139" s="666"/>
      <c r="I139" s="472"/>
      <c r="J139" s="180"/>
      <c r="K139" s="180"/>
      <c r="L139" s="180"/>
      <c r="M139" s="180"/>
      <c r="N139" s="180"/>
      <c r="O139" s="180"/>
      <c r="P139" s="180"/>
      <c r="Q139" s="180"/>
      <c r="R139" s="180"/>
      <c r="S139" s="180"/>
      <c r="T139" s="180"/>
      <c r="U139" s="180"/>
      <c r="V139" s="180"/>
      <c r="W139" s="180"/>
      <c r="X139" s="180"/>
      <c r="Y139" s="180"/>
      <c r="Z139" s="180"/>
      <c r="AA139" s="180"/>
      <c r="AB139" s="180"/>
    </row>
    <row r="140" ht="15.75" customHeight="1">
      <c r="A140" s="180"/>
      <c r="B140" s="180"/>
      <c r="C140" s="180"/>
      <c r="D140" s="180"/>
      <c r="E140" s="180"/>
      <c r="F140" s="472"/>
      <c r="G140" s="472"/>
      <c r="H140" s="666"/>
      <c r="I140" s="472"/>
      <c r="J140" s="180"/>
      <c r="K140" s="180"/>
      <c r="L140" s="180"/>
      <c r="M140" s="180"/>
      <c r="N140" s="180"/>
      <c r="O140" s="180"/>
      <c r="P140" s="180"/>
      <c r="Q140" s="180"/>
      <c r="R140" s="180"/>
      <c r="S140" s="180"/>
      <c r="T140" s="180"/>
      <c r="U140" s="180"/>
      <c r="V140" s="180"/>
      <c r="W140" s="180"/>
      <c r="X140" s="180"/>
      <c r="Y140" s="180"/>
      <c r="Z140" s="180"/>
      <c r="AA140" s="180"/>
      <c r="AB140" s="180"/>
    </row>
    <row r="141" ht="15.75" customHeight="1">
      <c r="A141" s="180"/>
      <c r="B141" s="180"/>
      <c r="C141" s="180"/>
      <c r="D141" s="180"/>
      <c r="E141" s="180"/>
      <c r="F141" s="472"/>
      <c r="G141" s="472"/>
      <c r="H141" s="666"/>
      <c r="I141" s="472"/>
      <c r="J141" s="180"/>
      <c r="K141" s="180"/>
      <c r="L141" s="180"/>
      <c r="M141" s="180"/>
      <c r="N141" s="180"/>
      <c r="O141" s="180"/>
      <c r="P141" s="180"/>
      <c r="Q141" s="180"/>
      <c r="R141" s="180"/>
      <c r="S141" s="180"/>
      <c r="T141" s="180"/>
      <c r="U141" s="180"/>
      <c r="V141" s="180"/>
      <c r="W141" s="180"/>
      <c r="X141" s="180"/>
      <c r="Y141" s="180"/>
      <c r="Z141" s="180"/>
      <c r="AA141" s="180"/>
      <c r="AB141" s="180"/>
    </row>
    <row r="142" ht="15.75" customHeight="1">
      <c r="A142" s="180"/>
      <c r="B142" s="180"/>
      <c r="C142" s="180"/>
      <c r="D142" s="180"/>
      <c r="E142" s="180"/>
      <c r="F142" s="472"/>
      <c r="G142" s="472"/>
      <c r="H142" s="666"/>
      <c r="I142" s="472"/>
      <c r="J142" s="180"/>
      <c r="K142" s="180"/>
      <c r="L142" s="180"/>
      <c r="M142" s="180"/>
      <c r="N142" s="180"/>
      <c r="O142" s="180"/>
      <c r="P142" s="180"/>
      <c r="Q142" s="180"/>
      <c r="R142" s="180"/>
      <c r="S142" s="180"/>
      <c r="T142" s="180"/>
      <c r="U142" s="180"/>
      <c r="V142" s="180"/>
      <c r="W142" s="180"/>
      <c r="X142" s="180"/>
      <c r="Y142" s="180"/>
      <c r="Z142" s="180"/>
      <c r="AA142" s="180"/>
      <c r="AB142" s="180"/>
    </row>
    <row r="143" ht="15.75" customHeight="1">
      <c r="A143" s="180"/>
      <c r="B143" s="180"/>
      <c r="C143" s="180"/>
      <c r="D143" s="180"/>
      <c r="E143" s="180"/>
      <c r="F143" s="472"/>
      <c r="G143" s="472"/>
      <c r="H143" s="666"/>
      <c r="I143" s="472"/>
      <c r="J143" s="180"/>
      <c r="K143" s="180"/>
      <c r="L143" s="180"/>
      <c r="M143" s="180"/>
      <c r="N143" s="180"/>
      <c r="O143" s="180"/>
      <c r="P143" s="180"/>
      <c r="Q143" s="180"/>
      <c r="R143" s="180"/>
      <c r="S143" s="180"/>
      <c r="T143" s="180"/>
      <c r="U143" s="180"/>
      <c r="V143" s="180"/>
      <c r="W143" s="180"/>
      <c r="X143" s="180"/>
      <c r="Y143" s="180"/>
      <c r="Z143" s="180"/>
      <c r="AA143" s="180"/>
      <c r="AB143" s="180"/>
    </row>
    <row r="144" ht="15.75" customHeight="1">
      <c r="A144" s="180"/>
      <c r="B144" s="180"/>
      <c r="C144" s="180"/>
      <c r="D144" s="180"/>
      <c r="E144" s="180"/>
      <c r="F144" s="472"/>
      <c r="G144" s="472"/>
      <c r="H144" s="666"/>
      <c r="I144" s="472"/>
      <c r="J144" s="180"/>
      <c r="K144" s="180"/>
      <c r="L144" s="180"/>
      <c r="M144" s="180"/>
      <c r="N144" s="180"/>
      <c r="O144" s="180"/>
      <c r="P144" s="180"/>
      <c r="Q144" s="180"/>
      <c r="R144" s="180"/>
      <c r="S144" s="180"/>
      <c r="T144" s="180"/>
      <c r="U144" s="180"/>
      <c r="V144" s="180"/>
      <c r="W144" s="180"/>
      <c r="X144" s="180"/>
      <c r="Y144" s="180"/>
      <c r="Z144" s="180"/>
      <c r="AA144" s="180"/>
      <c r="AB144" s="180"/>
    </row>
    <row r="145" ht="15.75" customHeight="1">
      <c r="A145" s="180"/>
      <c r="B145" s="180"/>
      <c r="C145" s="180"/>
      <c r="D145" s="180"/>
      <c r="E145" s="180"/>
      <c r="F145" s="472"/>
      <c r="G145" s="472"/>
      <c r="H145" s="666"/>
      <c r="I145" s="472"/>
      <c r="J145" s="180"/>
      <c r="K145" s="180"/>
      <c r="L145" s="180"/>
      <c r="M145" s="180"/>
      <c r="N145" s="180"/>
      <c r="O145" s="180"/>
      <c r="P145" s="180"/>
      <c r="Q145" s="180"/>
      <c r="R145" s="180"/>
      <c r="S145" s="180"/>
      <c r="T145" s="180"/>
      <c r="U145" s="180"/>
      <c r="V145" s="180"/>
      <c r="W145" s="180"/>
      <c r="X145" s="180"/>
      <c r="Y145" s="180"/>
      <c r="Z145" s="180"/>
      <c r="AA145" s="180"/>
      <c r="AB145" s="180"/>
    </row>
    <row r="146" ht="15.75" customHeight="1">
      <c r="A146" s="180"/>
      <c r="B146" s="180"/>
      <c r="C146" s="180"/>
      <c r="D146" s="180"/>
      <c r="E146" s="180"/>
      <c r="F146" s="472"/>
      <c r="G146" s="472"/>
      <c r="H146" s="666"/>
      <c r="I146" s="472"/>
      <c r="J146" s="180"/>
      <c r="K146" s="180"/>
      <c r="L146" s="180"/>
      <c r="M146" s="180"/>
      <c r="N146" s="180"/>
      <c r="O146" s="180"/>
      <c r="P146" s="180"/>
      <c r="Q146" s="180"/>
      <c r="R146" s="180"/>
      <c r="S146" s="180"/>
      <c r="T146" s="180"/>
      <c r="U146" s="180"/>
      <c r="V146" s="180"/>
      <c r="W146" s="180"/>
      <c r="X146" s="180"/>
      <c r="Y146" s="180"/>
      <c r="Z146" s="180"/>
      <c r="AA146" s="180"/>
      <c r="AB146" s="180"/>
    </row>
    <row r="147" ht="15.75" customHeight="1">
      <c r="A147" s="180"/>
      <c r="B147" s="180"/>
      <c r="C147" s="180"/>
      <c r="D147" s="180"/>
      <c r="E147" s="180"/>
      <c r="F147" s="472"/>
      <c r="G147" s="472"/>
      <c r="H147" s="666"/>
      <c r="I147" s="472"/>
      <c r="J147" s="180"/>
      <c r="K147" s="180"/>
      <c r="L147" s="180"/>
      <c r="M147" s="180"/>
      <c r="N147" s="180"/>
      <c r="O147" s="180"/>
      <c r="P147" s="180"/>
      <c r="Q147" s="180"/>
      <c r="R147" s="180"/>
      <c r="S147" s="180"/>
      <c r="T147" s="180"/>
      <c r="U147" s="180"/>
      <c r="V147" s="180"/>
      <c r="W147" s="180"/>
      <c r="X147" s="180"/>
      <c r="Y147" s="180"/>
      <c r="Z147" s="180"/>
      <c r="AA147" s="180"/>
      <c r="AB147" s="180"/>
    </row>
    <row r="148" ht="15.75" customHeight="1">
      <c r="A148" s="180"/>
      <c r="B148" s="180"/>
      <c r="C148" s="180"/>
      <c r="D148" s="180"/>
      <c r="E148" s="180"/>
      <c r="F148" s="472"/>
      <c r="G148" s="472"/>
      <c r="H148" s="666"/>
      <c r="I148" s="472"/>
      <c r="J148" s="180"/>
      <c r="K148" s="180"/>
      <c r="L148" s="180"/>
      <c r="M148" s="180"/>
      <c r="N148" s="180"/>
      <c r="O148" s="180"/>
      <c r="P148" s="180"/>
      <c r="Q148" s="180"/>
      <c r="R148" s="180"/>
      <c r="S148" s="180"/>
      <c r="T148" s="180"/>
      <c r="U148" s="180"/>
      <c r="V148" s="180"/>
      <c r="W148" s="180"/>
      <c r="X148" s="180"/>
      <c r="Y148" s="180"/>
      <c r="Z148" s="180"/>
      <c r="AA148" s="180"/>
      <c r="AB148" s="180"/>
    </row>
    <row r="149" ht="15.75" customHeight="1">
      <c r="A149" s="180"/>
      <c r="B149" s="180"/>
      <c r="C149" s="180"/>
      <c r="D149" s="180"/>
      <c r="E149" s="180"/>
      <c r="F149" s="472"/>
      <c r="G149" s="472"/>
      <c r="H149" s="666"/>
      <c r="I149" s="472"/>
      <c r="J149" s="180"/>
      <c r="K149" s="180"/>
      <c r="L149" s="180"/>
      <c r="M149" s="180"/>
      <c r="N149" s="180"/>
      <c r="O149" s="180"/>
      <c r="P149" s="180"/>
      <c r="Q149" s="180"/>
      <c r="R149" s="180"/>
      <c r="S149" s="180"/>
      <c r="T149" s="180"/>
      <c r="U149" s="180"/>
      <c r="V149" s="180"/>
      <c r="W149" s="180"/>
      <c r="X149" s="180"/>
      <c r="Y149" s="180"/>
      <c r="Z149" s="180"/>
      <c r="AA149" s="180"/>
      <c r="AB149" s="180"/>
    </row>
    <row r="150" ht="15.75" customHeight="1">
      <c r="A150" s="180"/>
      <c r="B150" s="180"/>
      <c r="C150" s="180"/>
      <c r="D150" s="180"/>
      <c r="E150" s="180"/>
      <c r="F150" s="472"/>
      <c r="G150" s="472"/>
      <c r="H150" s="666"/>
      <c r="I150" s="472"/>
      <c r="J150" s="180"/>
      <c r="K150" s="180"/>
      <c r="L150" s="180"/>
      <c r="M150" s="180"/>
      <c r="N150" s="180"/>
      <c r="O150" s="180"/>
      <c r="P150" s="180"/>
      <c r="Q150" s="180"/>
      <c r="R150" s="180"/>
      <c r="S150" s="180"/>
      <c r="T150" s="180"/>
      <c r="U150" s="180"/>
      <c r="V150" s="180"/>
      <c r="W150" s="180"/>
      <c r="X150" s="180"/>
      <c r="Y150" s="180"/>
      <c r="Z150" s="180"/>
      <c r="AA150" s="180"/>
      <c r="AB150" s="180"/>
    </row>
    <row r="151" ht="15.75" customHeight="1">
      <c r="A151" s="180"/>
      <c r="B151" s="180"/>
      <c r="C151" s="180"/>
      <c r="D151" s="180"/>
      <c r="E151" s="180"/>
      <c r="F151" s="472"/>
      <c r="G151" s="472"/>
      <c r="H151" s="666"/>
      <c r="I151" s="472"/>
      <c r="J151" s="180"/>
      <c r="K151" s="180"/>
      <c r="L151" s="180"/>
      <c r="M151" s="180"/>
      <c r="N151" s="180"/>
      <c r="O151" s="180"/>
      <c r="P151" s="180"/>
      <c r="Q151" s="180"/>
      <c r="R151" s="180"/>
      <c r="S151" s="180"/>
      <c r="T151" s="180"/>
      <c r="U151" s="180"/>
      <c r="V151" s="180"/>
      <c r="W151" s="180"/>
      <c r="X151" s="180"/>
      <c r="Y151" s="180"/>
      <c r="Z151" s="180"/>
      <c r="AA151" s="180"/>
      <c r="AB151" s="180"/>
    </row>
    <row r="152" ht="15.75" customHeight="1">
      <c r="A152" s="180"/>
      <c r="B152" s="180"/>
      <c r="C152" s="180"/>
      <c r="D152" s="180"/>
      <c r="E152" s="180"/>
      <c r="F152" s="472"/>
      <c r="G152" s="472"/>
      <c r="H152" s="666"/>
      <c r="I152" s="472"/>
      <c r="J152" s="180"/>
      <c r="K152" s="180"/>
      <c r="L152" s="180"/>
      <c r="M152" s="180"/>
      <c r="N152" s="180"/>
      <c r="O152" s="180"/>
      <c r="P152" s="180"/>
      <c r="Q152" s="180"/>
      <c r="R152" s="180"/>
      <c r="S152" s="180"/>
      <c r="T152" s="180"/>
      <c r="U152" s="180"/>
      <c r="V152" s="180"/>
      <c r="W152" s="180"/>
      <c r="X152" s="180"/>
      <c r="Y152" s="180"/>
      <c r="Z152" s="180"/>
      <c r="AA152" s="180"/>
      <c r="AB152" s="180"/>
    </row>
    <row r="153" ht="15.75" customHeight="1">
      <c r="A153" s="180"/>
      <c r="B153" s="180"/>
      <c r="C153" s="180"/>
      <c r="D153" s="180"/>
      <c r="E153" s="180"/>
      <c r="F153" s="472"/>
      <c r="G153" s="472"/>
      <c r="H153" s="666"/>
      <c r="I153" s="472"/>
      <c r="J153" s="180"/>
      <c r="K153" s="180"/>
      <c r="L153" s="180"/>
      <c r="M153" s="180"/>
      <c r="N153" s="180"/>
      <c r="O153" s="180"/>
      <c r="P153" s="180"/>
      <c r="Q153" s="180"/>
      <c r="R153" s="180"/>
      <c r="S153" s="180"/>
      <c r="T153" s="180"/>
      <c r="U153" s="180"/>
      <c r="V153" s="180"/>
      <c r="W153" s="180"/>
      <c r="X153" s="180"/>
      <c r="Y153" s="180"/>
      <c r="Z153" s="180"/>
      <c r="AA153" s="180"/>
      <c r="AB153" s="180"/>
    </row>
    <row r="154" ht="15.75" customHeight="1">
      <c r="A154" s="180"/>
      <c r="B154" s="180"/>
      <c r="C154" s="180"/>
      <c r="D154" s="180"/>
      <c r="E154" s="180"/>
      <c r="F154" s="472"/>
      <c r="G154" s="472"/>
      <c r="H154" s="666"/>
      <c r="I154" s="472"/>
      <c r="J154" s="180"/>
      <c r="K154" s="180"/>
      <c r="L154" s="180"/>
      <c r="M154" s="180"/>
      <c r="N154" s="180"/>
      <c r="O154" s="180"/>
      <c r="P154" s="180"/>
      <c r="Q154" s="180"/>
      <c r="R154" s="180"/>
      <c r="S154" s="180"/>
      <c r="T154" s="180"/>
      <c r="U154" s="180"/>
      <c r="V154" s="180"/>
      <c r="W154" s="180"/>
      <c r="X154" s="180"/>
      <c r="Y154" s="180"/>
      <c r="Z154" s="180"/>
      <c r="AA154" s="180"/>
      <c r="AB154" s="180"/>
    </row>
    <row r="155" ht="15.75" customHeight="1">
      <c r="A155" s="180"/>
      <c r="B155" s="180"/>
      <c r="C155" s="180"/>
      <c r="D155" s="180"/>
      <c r="E155" s="180"/>
      <c r="F155" s="472"/>
      <c r="G155" s="472"/>
      <c r="H155" s="666"/>
      <c r="I155" s="472"/>
      <c r="J155" s="180"/>
      <c r="K155" s="180"/>
      <c r="L155" s="180"/>
      <c r="M155" s="180"/>
      <c r="N155" s="180"/>
      <c r="O155" s="180"/>
      <c r="P155" s="180"/>
      <c r="Q155" s="180"/>
      <c r="R155" s="180"/>
      <c r="S155" s="180"/>
      <c r="T155" s="180"/>
      <c r="U155" s="180"/>
      <c r="V155" s="180"/>
      <c r="W155" s="180"/>
      <c r="X155" s="180"/>
      <c r="Y155" s="180"/>
      <c r="Z155" s="180"/>
      <c r="AA155" s="180"/>
      <c r="AB155" s="180"/>
    </row>
    <row r="156" ht="15.75" customHeight="1">
      <c r="A156" s="180"/>
      <c r="B156" s="180"/>
      <c r="C156" s="180"/>
      <c r="D156" s="180"/>
      <c r="E156" s="180"/>
      <c r="F156" s="472"/>
      <c r="G156" s="472"/>
      <c r="H156" s="666"/>
      <c r="I156" s="472"/>
      <c r="J156" s="180"/>
      <c r="K156" s="180"/>
      <c r="L156" s="180"/>
      <c r="M156" s="180"/>
      <c r="N156" s="180"/>
      <c r="O156" s="180"/>
      <c r="P156" s="180"/>
      <c r="Q156" s="180"/>
      <c r="R156" s="180"/>
      <c r="S156" s="180"/>
      <c r="T156" s="180"/>
      <c r="U156" s="180"/>
      <c r="V156" s="180"/>
      <c r="W156" s="180"/>
      <c r="X156" s="180"/>
      <c r="Y156" s="180"/>
      <c r="Z156" s="180"/>
      <c r="AA156" s="180"/>
      <c r="AB156" s="180"/>
    </row>
    <row r="157" ht="15.75" customHeight="1">
      <c r="A157" s="180"/>
      <c r="B157" s="180"/>
      <c r="C157" s="180"/>
      <c r="D157" s="180"/>
      <c r="E157" s="180"/>
      <c r="F157" s="472"/>
      <c r="G157" s="472"/>
      <c r="H157" s="666"/>
      <c r="I157" s="472"/>
      <c r="J157" s="180"/>
      <c r="K157" s="180"/>
      <c r="L157" s="180"/>
      <c r="M157" s="180"/>
      <c r="N157" s="180"/>
      <c r="O157" s="180"/>
      <c r="P157" s="180"/>
      <c r="Q157" s="180"/>
      <c r="R157" s="180"/>
      <c r="S157" s="180"/>
      <c r="T157" s="180"/>
      <c r="U157" s="180"/>
      <c r="V157" s="180"/>
      <c r="W157" s="180"/>
      <c r="X157" s="180"/>
      <c r="Y157" s="180"/>
      <c r="Z157" s="180"/>
      <c r="AA157" s="180"/>
      <c r="AB157" s="180"/>
    </row>
    <row r="158" ht="15.75" customHeight="1">
      <c r="A158" s="180"/>
      <c r="B158" s="180"/>
      <c r="C158" s="180"/>
      <c r="D158" s="180"/>
      <c r="E158" s="180"/>
      <c r="F158" s="472"/>
      <c r="G158" s="472"/>
      <c r="H158" s="666"/>
      <c r="I158" s="472"/>
      <c r="J158" s="180"/>
      <c r="K158" s="180"/>
      <c r="L158" s="180"/>
      <c r="M158" s="180"/>
      <c r="N158" s="180"/>
      <c r="O158" s="180"/>
      <c r="P158" s="180"/>
      <c r="Q158" s="180"/>
      <c r="R158" s="180"/>
      <c r="S158" s="180"/>
      <c r="T158" s="180"/>
      <c r="U158" s="180"/>
      <c r="V158" s="180"/>
      <c r="W158" s="180"/>
      <c r="X158" s="180"/>
      <c r="Y158" s="180"/>
      <c r="Z158" s="180"/>
      <c r="AA158" s="180"/>
      <c r="AB158" s="180"/>
    </row>
    <row r="159" ht="15.75" customHeight="1">
      <c r="A159" s="180"/>
      <c r="B159" s="180"/>
      <c r="C159" s="180"/>
      <c r="D159" s="180"/>
      <c r="E159" s="180"/>
      <c r="F159" s="472"/>
      <c r="G159" s="472"/>
      <c r="H159" s="666"/>
      <c r="I159" s="472"/>
      <c r="J159" s="180"/>
      <c r="K159" s="180"/>
      <c r="L159" s="180"/>
      <c r="M159" s="180"/>
      <c r="N159" s="180"/>
      <c r="O159" s="180"/>
      <c r="P159" s="180"/>
      <c r="Q159" s="180"/>
      <c r="R159" s="180"/>
      <c r="S159" s="180"/>
      <c r="T159" s="180"/>
      <c r="U159" s="180"/>
      <c r="V159" s="180"/>
      <c r="W159" s="180"/>
      <c r="X159" s="180"/>
      <c r="Y159" s="180"/>
      <c r="Z159" s="180"/>
      <c r="AA159" s="180"/>
      <c r="AB159" s="180"/>
    </row>
    <row r="160" ht="15.75" customHeight="1">
      <c r="A160" s="180"/>
      <c r="B160" s="180"/>
      <c r="C160" s="180"/>
      <c r="D160" s="180"/>
      <c r="E160" s="180"/>
      <c r="F160" s="472"/>
      <c r="G160" s="472"/>
      <c r="H160" s="666"/>
      <c r="I160" s="472"/>
      <c r="J160" s="180"/>
      <c r="K160" s="180"/>
      <c r="L160" s="180"/>
      <c r="M160" s="180"/>
      <c r="N160" s="180"/>
      <c r="O160" s="180"/>
      <c r="P160" s="180"/>
      <c r="Q160" s="180"/>
      <c r="R160" s="180"/>
      <c r="S160" s="180"/>
      <c r="T160" s="180"/>
      <c r="U160" s="180"/>
      <c r="V160" s="180"/>
      <c r="W160" s="180"/>
      <c r="X160" s="180"/>
      <c r="Y160" s="180"/>
      <c r="Z160" s="180"/>
      <c r="AA160" s="180"/>
      <c r="AB160" s="180"/>
    </row>
    <row r="161" ht="15.75" customHeight="1">
      <c r="A161" s="180"/>
      <c r="B161" s="180"/>
      <c r="C161" s="180"/>
      <c r="D161" s="180"/>
      <c r="E161" s="180"/>
      <c r="F161" s="472"/>
      <c r="G161" s="472"/>
      <c r="H161" s="666"/>
      <c r="I161" s="472"/>
      <c r="J161" s="180"/>
      <c r="K161" s="180"/>
      <c r="L161" s="180"/>
      <c r="M161" s="180"/>
      <c r="N161" s="180"/>
      <c r="O161" s="180"/>
      <c r="P161" s="180"/>
      <c r="Q161" s="180"/>
      <c r="R161" s="180"/>
      <c r="S161" s="180"/>
      <c r="T161" s="180"/>
      <c r="U161" s="180"/>
      <c r="V161" s="180"/>
      <c r="W161" s="180"/>
      <c r="X161" s="180"/>
      <c r="Y161" s="180"/>
      <c r="Z161" s="180"/>
      <c r="AA161" s="180"/>
      <c r="AB161" s="180"/>
    </row>
    <row r="162" ht="15.75" customHeight="1">
      <c r="A162" s="180"/>
      <c r="B162" s="180"/>
      <c r="C162" s="180"/>
      <c r="D162" s="180"/>
      <c r="E162" s="180"/>
      <c r="F162" s="472"/>
      <c r="G162" s="472"/>
      <c r="H162" s="666"/>
      <c r="I162" s="472"/>
      <c r="J162" s="180"/>
      <c r="K162" s="180"/>
      <c r="L162" s="180"/>
      <c r="M162" s="180"/>
      <c r="N162" s="180"/>
      <c r="O162" s="180"/>
      <c r="P162" s="180"/>
      <c r="Q162" s="180"/>
      <c r="R162" s="180"/>
      <c r="S162" s="180"/>
      <c r="T162" s="180"/>
      <c r="U162" s="180"/>
      <c r="V162" s="180"/>
      <c r="W162" s="180"/>
      <c r="X162" s="180"/>
      <c r="Y162" s="180"/>
      <c r="Z162" s="180"/>
      <c r="AA162" s="180"/>
      <c r="AB162" s="180"/>
    </row>
    <row r="163" ht="15.75" customHeight="1">
      <c r="A163" s="180"/>
      <c r="B163" s="180"/>
      <c r="C163" s="180"/>
      <c r="D163" s="180"/>
      <c r="E163" s="180"/>
      <c r="F163" s="472"/>
      <c r="G163" s="472"/>
      <c r="H163" s="666"/>
      <c r="I163" s="472"/>
      <c r="J163" s="180"/>
      <c r="K163" s="180"/>
      <c r="L163" s="180"/>
      <c r="M163" s="180"/>
      <c r="N163" s="180"/>
      <c r="O163" s="180"/>
      <c r="P163" s="180"/>
      <c r="Q163" s="180"/>
      <c r="R163" s="180"/>
      <c r="S163" s="180"/>
      <c r="T163" s="180"/>
      <c r="U163" s="180"/>
      <c r="V163" s="180"/>
      <c r="W163" s="180"/>
      <c r="X163" s="180"/>
      <c r="Y163" s="180"/>
      <c r="Z163" s="180"/>
      <c r="AA163" s="180"/>
      <c r="AB163" s="180"/>
    </row>
    <row r="164" ht="15.75" customHeight="1">
      <c r="A164" s="180"/>
      <c r="B164" s="180"/>
      <c r="C164" s="180"/>
      <c r="D164" s="180"/>
      <c r="E164" s="180"/>
      <c r="F164" s="472"/>
      <c r="G164" s="472"/>
      <c r="H164" s="666"/>
      <c r="I164" s="472"/>
      <c r="J164" s="180"/>
      <c r="K164" s="180"/>
      <c r="L164" s="180"/>
      <c r="M164" s="180"/>
      <c r="N164" s="180"/>
      <c r="O164" s="180"/>
      <c r="P164" s="180"/>
      <c r="Q164" s="180"/>
      <c r="R164" s="180"/>
      <c r="S164" s="180"/>
      <c r="T164" s="180"/>
      <c r="U164" s="180"/>
      <c r="V164" s="180"/>
      <c r="W164" s="180"/>
      <c r="X164" s="180"/>
      <c r="Y164" s="180"/>
      <c r="Z164" s="180"/>
      <c r="AA164" s="180"/>
      <c r="AB164" s="180"/>
    </row>
    <row r="165" ht="15.75" customHeight="1">
      <c r="A165" s="180"/>
      <c r="B165" s="180"/>
      <c r="C165" s="180"/>
      <c r="D165" s="180"/>
      <c r="E165" s="180"/>
      <c r="F165" s="472"/>
      <c r="G165" s="472"/>
      <c r="H165" s="666"/>
      <c r="I165" s="472"/>
      <c r="J165" s="180"/>
      <c r="K165" s="180"/>
      <c r="L165" s="180"/>
      <c r="M165" s="180"/>
      <c r="N165" s="180"/>
      <c r="O165" s="180"/>
      <c r="P165" s="180"/>
      <c r="Q165" s="180"/>
      <c r="R165" s="180"/>
      <c r="S165" s="180"/>
      <c r="T165" s="180"/>
      <c r="U165" s="180"/>
      <c r="V165" s="180"/>
      <c r="W165" s="180"/>
      <c r="X165" s="180"/>
      <c r="Y165" s="180"/>
      <c r="Z165" s="180"/>
      <c r="AA165" s="180"/>
      <c r="AB165" s="180"/>
    </row>
    <row r="166" ht="15.75" customHeight="1">
      <c r="A166" s="180"/>
      <c r="B166" s="180"/>
      <c r="C166" s="180"/>
      <c r="D166" s="180"/>
      <c r="E166" s="180"/>
      <c r="F166" s="472"/>
      <c r="G166" s="472"/>
      <c r="H166" s="666"/>
      <c r="I166" s="472"/>
      <c r="J166" s="180"/>
      <c r="K166" s="180"/>
      <c r="L166" s="180"/>
      <c r="M166" s="180"/>
      <c r="N166" s="180"/>
      <c r="O166" s="180"/>
      <c r="P166" s="180"/>
      <c r="Q166" s="180"/>
      <c r="R166" s="180"/>
      <c r="S166" s="180"/>
      <c r="T166" s="180"/>
      <c r="U166" s="180"/>
      <c r="V166" s="180"/>
      <c r="W166" s="180"/>
      <c r="X166" s="180"/>
      <c r="Y166" s="180"/>
      <c r="Z166" s="180"/>
      <c r="AA166" s="180"/>
      <c r="AB166" s="180"/>
    </row>
    <row r="167" ht="15.75" customHeight="1">
      <c r="A167" s="180"/>
      <c r="B167" s="180"/>
      <c r="C167" s="180"/>
      <c r="D167" s="180"/>
      <c r="E167" s="180"/>
      <c r="F167" s="472"/>
      <c r="G167" s="472"/>
      <c r="H167" s="666"/>
      <c r="I167" s="472"/>
      <c r="J167" s="180"/>
      <c r="K167" s="180"/>
      <c r="L167" s="180"/>
      <c r="M167" s="180"/>
      <c r="N167" s="180"/>
      <c r="O167" s="180"/>
      <c r="P167" s="180"/>
      <c r="Q167" s="180"/>
      <c r="R167" s="180"/>
      <c r="S167" s="180"/>
      <c r="T167" s="180"/>
      <c r="U167" s="180"/>
      <c r="V167" s="180"/>
      <c r="W167" s="180"/>
      <c r="X167" s="180"/>
      <c r="Y167" s="180"/>
      <c r="Z167" s="180"/>
      <c r="AA167" s="180"/>
      <c r="AB167" s="180"/>
    </row>
    <row r="168" ht="15.75" customHeight="1">
      <c r="A168" s="180"/>
      <c r="B168" s="180"/>
      <c r="C168" s="180"/>
      <c r="D168" s="180"/>
      <c r="E168" s="180"/>
      <c r="F168" s="472"/>
      <c r="G168" s="472"/>
      <c r="H168" s="666"/>
      <c r="I168" s="472"/>
      <c r="J168" s="180"/>
      <c r="K168" s="180"/>
      <c r="L168" s="180"/>
      <c r="M168" s="180"/>
      <c r="N168" s="180"/>
      <c r="O168" s="180"/>
      <c r="P168" s="180"/>
      <c r="Q168" s="180"/>
      <c r="R168" s="180"/>
      <c r="S168" s="180"/>
      <c r="T168" s="180"/>
      <c r="U168" s="180"/>
      <c r="V168" s="180"/>
      <c r="W168" s="180"/>
      <c r="X168" s="180"/>
      <c r="Y168" s="180"/>
      <c r="Z168" s="180"/>
      <c r="AA168" s="180"/>
      <c r="AB168" s="180"/>
    </row>
    <row r="169" ht="15.75" customHeight="1">
      <c r="A169" s="180"/>
      <c r="B169" s="180"/>
      <c r="C169" s="180"/>
      <c r="D169" s="180"/>
      <c r="E169" s="180"/>
      <c r="F169" s="472"/>
      <c r="G169" s="472"/>
      <c r="H169" s="666"/>
      <c r="I169" s="472"/>
      <c r="J169" s="180"/>
      <c r="K169" s="180"/>
      <c r="L169" s="180"/>
      <c r="M169" s="180"/>
      <c r="N169" s="180"/>
      <c r="O169" s="180"/>
      <c r="P169" s="180"/>
      <c r="Q169" s="180"/>
      <c r="R169" s="180"/>
      <c r="S169" s="180"/>
      <c r="T169" s="180"/>
      <c r="U169" s="180"/>
      <c r="V169" s="180"/>
      <c r="W169" s="180"/>
      <c r="X169" s="180"/>
      <c r="Y169" s="180"/>
      <c r="Z169" s="180"/>
      <c r="AA169" s="180"/>
      <c r="AB169" s="180"/>
    </row>
    <row r="170" ht="15.75" customHeight="1">
      <c r="A170" s="180"/>
      <c r="B170" s="180"/>
      <c r="C170" s="180"/>
      <c r="D170" s="180"/>
      <c r="E170" s="180"/>
      <c r="F170" s="472"/>
      <c r="G170" s="472"/>
      <c r="H170" s="666"/>
      <c r="I170" s="472"/>
      <c r="J170" s="180"/>
      <c r="K170" s="180"/>
      <c r="L170" s="180"/>
      <c r="M170" s="180"/>
      <c r="N170" s="180"/>
      <c r="O170" s="180"/>
      <c r="P170" s="180"/>
      <c r="Q170" s="180"/>
      <c r="R170" s="180"/>
      <c r="S170" s="180"/>
      <c r="T170" s="180"/>
      <c r="U170" s="180"/>
      <c r="V170" s="180"/>
      <c r="W170" s="180"/>
      <c r="X170" s="180"/>
      <c r="Y170" s="180"/>
      <c r="Z170" s="180"/>
      <c r="AA170" s="180"/>
      <c r="AB170" s="180"/>
    </row>
    <row r="171" ht="15.75" customHeight="1">
      <c r="A171" s="180"/>
      <c r="B171" s="180"/>
      <c r="C171" s="180"/>
      <c r="D171" s="180"/>
      <c r="E171" s="180"/>
      <c r="F171" s="472"/>
      <c r="G171" s="472"/>
      <c r="H171" s="666"/>
      <c r="I171" s="472"/>
      <c r="J171" s="180"/>
      <c r="K171" s="180"/>
      <c r="L171" s="180"/>
      <c r="M171" s="180"/>
      <c r="N171" s="180"/>
      <c r="O171" s="180"/>
      <c r="P171" s="180"/>
      <c r="Q171" s="180"/>
      <c r="R171" s="180"/>
      <c r="S171" s="180"/>
      <c r="T171" s="180"/>
      <c r="U171" s="180"/>
      <c r="V171" s="180"/>
      <c r="W171" s="180"/>
      <c r="X171" s="180"/>
      <c r="Y171" s="180"/>
      <c r="Z171" s="180"/>
      <c r="AA171" s="180"/>
      <c r="AB171" s="180"/>
    </row>
    <row r="172" ht="15.75" customHeight="1">
      <c r="A172" s="180"/>
      <c r="B172" s="180"/>
      <c r="C172" s="180"/>
      <c r="D172" s="180"/>
      <c r="E172" s="180"/>
      <c r="F172" s="472"/>
      <c r="G172" s="472"/>
      <c r="H172" s="666"/>
      <c r="I172" s="472"/>
      <c r="J172" s="180"/>
      <c r="K172" s="180"/>
      <c r="L172" s="180"/>
      <c r="M172" s="180"/>
      <c r="N172" s="180"/>
      <c r="O172" s="180"/>
      <c r="P172" s="180"/>
      <c r="Q172" s="180"/>
      <c r="R172" s="180"/>
      <c r="S172" s="180"/>
      <c r="T172" s="180"/>
      <c r="U172" s="180"/>
      <c r="V172" s="180"/>
      <c r="W172" s="180"/>
      <c r="X172" s="180"/>
      <c r="Y172" s="180"/>
      <c r="Z172" s="180"/>
      <c r="AA172" s="180"/>
      <c r="AB172" s="180"/>
    </row>
    <row r="173" ht="15.75" customHeight="1">
      <c r="A173" s="180"/>
      <c r="B173" s="180"/>
      <c r="C173" s="180"/>
      <c r="D173" s="180"/>
      <c r="E173" s="180"/>
      <c r="F173" s="472"/>
      <c r="G173" s="472"/>
      <c r="H173" s="666"/>
      <c r="I173" s="472"/>
      <c r="J173" s="180"/>
      <c r="K173" s="180"/>
      <c r="L173" s="180"/>
      <c r="M173" s="180"/>
      <c r="N173" s="180"/>
      <c r="O173" s="180"/>
      <c r="P173" s="180"/>
      <c r="Q173" s="180"/>
      <c r="R173" s="180"/>
      <c r="S173" s="180"/>
      <c r="T173" s="180"/>
      <c r="U173" s="180"/>
      <c r="V173" s="180"/>
      <c r="W173" s="180"/>
      <c r="X173" s="180"/>
      <c r="Y173" s="180"/>
      <c r="Z173" s="180"/>
      <c r="AA173" s="180"/>
      <c r="AB173" s="180"/>
    </row>
    <row r="174" ht="15.75" customHeight="1">
      <c r="A174" s="180"/>
      <c r="B174" s="180"/>
      <c r="C174" s="180"/>
      <c r="D174" s="180"/>
      <c r="E174" s="180"/>
      <c r="F174" s="472"/>
      <c r="G174" s="472"/>
      <c r="H174" s="666"/>
      <c r="I174" s="472"/>
      <c r="J174" s="180"/>
      <c r="K174" s="180"/>
      <c r="L174" s="180"/>
      <c r="M174" s="180"/>
      <c r="N174" s="180"/>
      <c r="O174" s="180"/>
      <c r="P174" s="180"/>
      <c r="Q174" s="180"/>
      <c r="R174" s="180"/>
      <c r="S174" s="180"/>
      <c r="T174" s="180"/>
      <c r="U174" s="180"/>
      <c r="V174" s="180"/>
      <c r="W174" s="180"/>
      <c r="X174" s="180"/>
      <c r="Y174" s="180"/>
      <c r="Z174" s="180"/>
      <c r="AA174" s="180"/>
      <c r="AB174" s="180"/>
    </row>
    <row r="175" ht="15.75" customHeight="1">
      <c r="A175" s="180"/>
      <c r="B175" s="180"/>
      <c r="C175" s="180"/>
      <c r="D175" s="180"/>
      <c r="E175" s="180"/>
      <c r="F175" s="472"/>
      <c r="G175" s="472"/>
      <c r="H175" s="666"/>
      <c r="I175" s="472"/>
      <c r="J175" s="180"/>
      <c r="K175" s="180"/>
      <c r="L175" s="180"/>
      <c r="M175" s="180"/>
      <c r="N175" s="180"/>
      <c r="O175" s="180"/>
      <c r="P175" s="180"/>
      <c r="Q175" s="180"/>
      <c r="R175" s="180"/>
      <c r="S175" s="180"/>
      <c r="T175" s="180"/>
      <c r="U175" s="180"/>
      <c r="V175" s="180"/>
      <c r="W175" s="180"/>
      <c r="X175" s="180"/>
      <c r="Y175" s="180"/>
      <c r="Z175" s="180"/>
      <c r="AA175" s="180"/>
      <c r="AB175" s="180"/>
    </row>
    <row r="176" ht="15.75" customHeight="1">
      <c r="A176" s="180"/>
      <c r="B176" s="180"/>
      <c r="C176" s="180"/>
      <c r="D176" s="180"/>
      <c r="E176" s="180"/>
      <c r="F176" s="472"/>
      <c r="G176" s="472"/>
      <c r="H176" s="666"/>
      <c r="I176" s="472"/>
      <c r="J176" s="180"/>
      <c r="K176" s="180"/>
      <c r="L176" s="180"/>
      <c r="M176" s="180"/>
      <c r="N176" s="180"/>
      <c r="O176" s="180"/>
      <c r="P176" s="180"/>
      <c r="Q176" s="180"/>
      <c r="R176" s="180"/>
      <c r="S176" s="180"/>
      <c r="T176" s="180"/>
      <c r="U176" s="180"/>
      <c r="V176" s="180"/>
      <c r="W176" s="180"/>
      <c r="X176" s="180"/>
      <c r="Y176" s="180"/>
      <c r="Z176" s="180"/>
      <c r="AA176" s="180"/>
      <c r="AB176" s="180"/>
    </row>
    <row r="177" ht="15.75" customHeight="1">
      <c r="A177" s="180"/>
      <c r="B177" s="180"/>
      <c r="C177" s="180"/>
      <c r="D177" s="180"/>
      <c r="E177" s="180"/>
      <c r="F177" s="472"/>
      <c r="G177" s="472"/>
      <c r="H177" s="666"/>
      <c r="I177" s="472"/>
      <c r="J177" s="180"/>
      <c r="K177" s="180"/>
      <c r="L177" s="180"/>
      <c r="M177" s="180"/>
      <c r="N177" s="180"/>
      <c r="O177" s="180"/>
      <c r="P177" s="180"/>
      <c r="Q177" s="180"/>
      <c r="R177" s="180"/>
      <c r="S177" s="180"/>
      <c r="T177" s="180"/>
      <c r="U177" s="180"/>
      <c r="V177" s="180"/>
      <c r="W177" s="180"/>
      <c r="X177" s="180"/>
      <c r="Y177" s="180"/>
      <c r="Z177" s="180"/>
      <c r="AA177" s="180"/>
      <c r="AB177" s="180"/>
    </row>
    <row r="178" ht="15.75" customHeight="1">
      <c r="A178" s="180"/>
      <c r="B178" s="180"/>
      <c r="C178" s="180"/>
      <c r="D178" s="180"/>
      <c r="E178" s="180"/>
      <c r="F178" s="472"/>
      <c r="G178" s="472"/>
      <c r="H178" s="666"/>
      <c r="I178" s="472"/>
      <c r="J178" s="180"/>
      <c r="K178" s="180"/>
      <c r="L178" s="180"/>
      <c r="M178" s="180"/>
      <c r="N178" s="180"/>
      <c r="O178" s="180"/>
      <c r="P178" s="180"/>
      <c r="Q178" s="180"/>
      <c r="R178" s="180"/>
      <c r="S178" s="180"/>
      <c r="T178" s="180"/>
      <c r="U178" s="180"/>
      <c r="V178" s="180"/>
      <c r="W178" s="180"/>
      <c r="X178" s="180"/>
      <c r="Y178" s="180"/>
      <c r="Z178" s="180"/>
      <c r="AA178" s="180"/>
      <c r="AB178" s="180"/>
    </row>
    <row r="179" ht="15.75" customHeight="1">
      <c r="A179" s="180"/>
      <c r="B179" s="180"/>
      <c r="C179" s="180"/>
      <c r="D179" s="180"/>
      <c r="E179" s="180"/>
      <c r="F179" s="472"/>
      <c r="G179" s="472"/>
      <c r="H179" s="666"/>
      <c r="I179" s="472"/>
      <c r="J179" s="180"/>
      <c r="K179" s="180"/>
      <c r="L179" s="180"/>
      <c r="M179" s="180"/>
      <c r="N179" s="180"/>
      <c r="O179" s="180"/>
      <c r="P179" s="180"/>
      <c r="Q179" s="180"/>
      <c r="R179" s="180"/>
      <c r="S179" s="180"/>
      <c r="T179" s="180"/>
      <c r="U179" s="180"/>
      <c r="V179" s="180"/>
      <c r="W179" s="180"/>
      <c r="X179" s="180"/>
      <c r="Y179" s="180"/>
      <c r="Z179" s="180"/>
      <c r="AA179" s="180"/>
      <c r="AB179" s="180"/>
    </row>
    <row r="180" ht="15.75" customHeight="1">
      <c r="A180" s="180"/>
      <c r="B180" s="180"/>
      <c r="C180" s="180"/>
      <c r="D180" s="180"/>
      <c r="E180" s="180"/>
      <c r="F180" s="472"/>
      <c r="G180" s="472"/>
      <c r="H180" s="666"/>
      <c r="I180" s="472"/>
      <c r="J180" s="180"/>
      <c r="K180" s="180"/>
      <c r="L180" s="180"/>
      <c r="M180" s="180"/>
      <c r="N180" s="180"/>
      <c r="O180" s="180"/>
      <c r="P180" s="180"/>
      <c r="Q180" s="180"/>
      <c r="R180" s="180"/>
      <c r="S180" s="180"/>
      <c r="T180" s="180"/>
      <c r="U180" s="180"/>
      <c r="V180" s="180"/>
      <c r="W180" s="180"/>
      <c r="X180" s="180"/>
      <c r="Y180" s="180"/>
      <c r="Z180" s="180"/>
      <c r="AA180" s="180"/>
      <c r="AB180" s="180"/>
    </row>
    <row r="181" ht="15.75" customHeight="1">
      <c r="A181" s="180"/>
      <c r="B181" s="180"/>
      <c r="C181" s="180"/>
      <c r="D181" s="180"/>
      <c r="E181" s="180"/>
      <c r="F181" s="472"/>
      <c r="G181" s="472"/>
      <c r="H181" s="666"/>
      <c r="I181" s="472"/>
      <c r="J181" s="180"/>
      <c r="K181" s="180"/>
      <c r="L181" s="180"/>
      <c r="M181" s="180"/>
      <c r="N181" s="180"/>
      <c r="O181" s="180"/>
      <c r="P181" s="180"/>
      <c r="Q181" s="180"/>
      <c r="R181" s="180"/>
      <c r="S181" s="180"/>
      <c r="T181" s="180"/>
      <c r="U181" s="180"/>
      <c r="V181" s="180"/>
      <c r="W181" s="180"/>
      <c r="X181" s="180"/>
      <c r="Y181" s="180"/>
      <c r="Z181" s="180"/>
      <c r="AA181" s="180"/>
      <c r="AB181" s="180"/>
    </row>
    <row r="182" ht="15.75" customHeight="1">
      <c r="A182" s="180"/>
      <c r="B182" s="180"/>
      <c r="C182" s="180"/>
      <c r="D182" s="180"/>
      <c r="E182" s="180"/>
      <c r="F182" s="472"/>
      <c r="G182" s="472"/>
      <c r="H182" s="666"/>
      <c r="I182" s="472"/>
      <c r="J182" s="180"/>
      <c r="K182" s="180"/>
      <c r="L182" s="180"/>
      <c r="M182" s="180"/>
      <c r="N182" s="180"/>
      <c r="O182" s="180"/>
      <c r="P182" s="180"/>
      <c r="Q182" s="180"/>
      <c r="R182" s="180"/>
      <c r="S182" s="180"/>
      <c r="T182" s="180"/>
      <c r="U182" s="180"/>
      <c r="V182" s="180"/>
      <c r="W182" s="180"/>
      <c r="X182" s="180"/>
      <c r="Y182" s="180"/>
      <c r="Z182" s="180"/>
      <c r="AA182" s="180"/>
      <c r="AB182" s="180"/>
    </row>
    <row r="183" ht="15.75" customHeight="1">
      <c r="A183" s="180"/>
      <c r="B183" s="180"/>
      <c r="C183" s="180"/>
      <c r="D183" s="180"/>
      <c r="E183" s="180"/>
      <c r="F183" s="472"/>
      <c r="G183" s="472"/>
      <c r="H183" s="666"/>
      <c r="I183" s="472"/>
      <c r="J183" s="180"/>
      <c r="K183" s="180"/>
      <c r="L183" s="180"/>
      <c r="M183" s="180"/>
      <c r="N183" s="180"/>
      <c r="O183" s="180"/>
      <c r="P183" s="180"/>
      <c r="Q183" s="180"/>
      <c r="R183" s="180"/>
      <c r="S183" s="180"/>
      <c r="T183" s="180"/>
      <c r="U183" s="180"/>
      <c r="V183" s="180"/>
      <c r="W183" s="180"/>
      <c r="X183" s="180"/>
      <c r="Y183" s="180"/>
      <c r="Z183" s="180"/>
      <c r="AA183" s="180"/>
      <c r="AB183" s="180"/>
    </row>
    <row r="184" ht="15.75" customHeight="1">
      <c r="A184" s="180"/>
      <c r="B184" s="180"/>
      <c r="C184" s="180"/>
      <c r="D184" s="180"/>
      <c r="E184" s="180"/>
      <c r="F184" s="472"/>
      <c r="G184" s="472"/>
      <c r="H184" s="666"/>
      <c r="I184" s="472"/>
      <c r="J184" s="180"/>
      <c r="K184" s="180"/>
      <c r="L184" s="180"/>
      <c r="M184" s="180"/>
      <c r="N184" s="180"/>
      <c r="O184" s="180"/>
      <c r="P184" s="180"/>
      <c r="Q184" s="180"/>
      <c r="R184" s="180"/>
      <c r="S184" s="180"/>
      <c r="T184" s="180"/>
      <c r="U184" s="180"/>
      <c r="V184" s="180"/>
      <c r="W184" s="180"/>
      <c r="X184" s="180"/>
      <c r="Y184" s="180"/>
      <c r="Z184" s="180"/>
      <c r="AA184" s="180"/>
      <c r="AB184" s="180"/>
    </row>
    <row r="185" ht="15.75" customHeight="1">
      <c r="A185" s="180"/>
      <c r="B185" s="180"/>
      <c r="C185" s="180"/>
      <c r="D185" s="180"/>
      <c r="E185" s="180"/>
      <c r="F185" s="472"/>
      <c r="G185" s="472"/>
      <c r="H185" s="666"/>
      <c r="I185" s="472"/>
      <c r="J185" s="180"/>
      <c r="K185" s="180"/>
      <c r="L185" s="180"/>
      <c r="M185" s="180"/>
      <c r="N185" s="180"/>
      <c r="O185" s="180"/>
      <c r="P185" s="180"/>
      <c r="Q185" s="180"/>
      <c r="R185" s="180"/>
      <c r="S185" s="180"/>
      <c r="T185" s="180"/>
      <c r="U185" s="180"/>
      <c r="V185" s="180"/>
      <c r="W185" s="180"/>
      <c r="X185" s="180"/>
      <c r="Y185" s="180"/>
      <c r="Z185" s="180"/>
      <c r="AA185" s="180"/>
      <c r="AB185" s="180"/>
    </row>
    <row r="186" ht="15.75" customHeight="1">
      <c r="A186" s="180"/>
      <c r="B186" s="180"/>
      <c r="C186" s="180"/>
      <c r="D186" s="180"/>
      <c r="E186" s="180"/>
      <c r="F186" s="472"/>
      <c r="G186" s="472"/>
      <c r="H186" s="666"/>
      <c r="I186" s="472"/>
      <c r="J186" s="180"/>
      <c r="K186" s="180"/>
      <c r="L186" s="180"/>
      <c r="M186" s="180"/>
      <c r="N186" s="180"/>
      <c r="O186" s="180"/>
      <c r="P186" s="180"/>
      <c r="Q186" s="180"/>
      <c r="R186" s="180"/>
      <c r="S186" s="180"/>
      <c r="T186" s="180"/>
      <c r="U186" s="180"/>
      <c r="V186" s="180"/>
      <c r="W186" s="180"/>
      <c r="X186" s="180"/>
      <c r="Y186" s="180"/>
      <c r="Z186" s="180"/>
      <c r="AA186" s="180"/>
      <c r="AB186" s="180"/>
    </row>
    <row r="187" ht="15.75" customHeight="1">
      <c r="A187" s="180"/>
      <c r="B187" s="180"/>
      <c r="C187" s="180"/>
      <c r="D187" s="180"/>
      <c r="E187" s="180"/>
      <c r="F187" s="472"/>
      <c r="G187" s="472"/>
      <c r="H187" s="666"/>
      <c r="I187" s="472"/>
      <c r="J187" s="180"/>
      <c r="K187" s="180"/>
      <c r="L187" s="180"/>
      <c r="M187" s="180"/>
      <c r="N187" s="180"/>
      <c r="O187" s="180"/>
      <c r="P187" s="180"/>
      <c r="Q187" s="180"/>
      <c r="R187" s="180"/>
      <c r="S187" s="180"/>
      <c r="T187" s="180"/>
      <c r="U187" s="180"/>
      <c r="V187" s="180"/>
      <c r="W187" s="180"/>
      <c r="X187" s="180"/>
      <c r="Y187" s="180"/>
      <c r="Z187" s="180"/>
      <c r="AA187" s="180"/>
      <c r="AB187" s="180"/>
    </row>
    <row r="188" ht="15.75" customHeight="1">
      <c r="A188" s="180"/>
      <c r="B188" s="180"/>
      <c r="C188" s="180"/>
      <c r="D188" s="180"/>
      <c r="E188" s="180"/>
      <c r="F188" s="472"/>
      <c r="G188" s="472"/>
      <c r="H188" s="666"/>
      <c r="I188" s="472"/>
      <c r="J188" s="180"/>
      <c r="K188" s="180"/>
      <c r="L188" s="180"/>
      <c r="M188" s="180"/>
      <c r="N188" s="180"/>
      <c r="O188" s="180"/>
      <c r="P188" s="180"/>
      <c r="Q188" s="180"/>
      <c r="R188" s="180"/>
      <c r="S188" s="180"/>
      <c r="T188" s="180"/>
      <c r="U188" s="180"/>
      <c r="V188" s="180"/>
      <c r="W188" s="180"/>
      <c r="X188" s="180"/>
      <c r="Y188" s="180"/>
      <c r="Z188" s="180"/>
      <c r="AA188" s="180"/>
      <c r="AB188" s="180"/>
    </row>
    <row r="189" ht="15.75" customHeight="1">
      <c r="A189" s="180"/>
      <c r="B189" s="180"/>
      <c r="C189" s="180"/>
      <c r="D189" s="180"/>
      <c r="E189" s="180"/>
      <c r="F189" s="472"/>
      <c r="G189" s="472"/>
      <c r="H189" s="666"/>
      <c r="I189" s="472"/>
      <c r="J189" s="180"/>
      <c r="K189" s="180"/>
      <c r="L189" s="180"/>
      <c r="M189" s="180"/>
      <c r="N189" s="180"/>
      <c r="O189" s="180"/>
      <c r="P189" s="180"/>
      <c r="Q189" s="180"/>
      <c r="R189" s="180"/>
      <c r="S189" s="180"/>
      <c r="T189" s="180"/>
      <c r="U189" s="180"/>
      <c r="V189" s="180"/>
      <c r="W189" s="180"/>
      <c r="X189" s="180"/>
      <c r="Y189" s="180"/>
      <c r="Z189" s="180"/>
      <c r="AA189" s="180"/>
      <c r="AB189" s="180"/>
    </row>
    <row r="190" ht="15.75" customHeight="1">
      <c r="A190" s="180"/>
      <c r="B190" s="180"/>
      <c r="C190" s="180"/>
      <c r="D190" s="180"/>
      <c r="E190" s="180"/>
      <c r="F190" s="472"/>
      <c r="G190" s="472"/>
      <c r="H190" s="666"/>
      <c r="I190" s="472"/>
      <c r="J190" s="180"/>
      <c r="K190" s="180"/>
      <c r="L190" s="180"/>
      <c r="M190" s="180"/>
      <c r="N190" s="180"/>
      <c r="O190" s="180"/>
      <c r="P190" s="180"/>
      <c r="Q190" s="180"/>
      <c r="R190" s="180"/>
      <c r="S190" s="180"/>
      <c r="T190" s="180"/>
      <c r="U190" s="180"/>
      <c r="V190" s="180"/>
      <c r="W190" s="180"/>
      <c r="X190" s="180"/>
      <c r="Y190" s="180"/>
      <c r="Z190" s="180"/>
      <c r="AA190" s="180"/>
      <c r="AB190" s="180"/>
    </row>
    <row r="191" ht="15.75" customHeight="1">
      <c r="A191" s="180"/>
      <c r="B191" s="180"/>
      <c r="C191" s="180"/>
      <c r="D191" s="180"/>
      <c r="E191" s="180"/>
      <c r="F191" s="472"/>
      <c r="G191" s="472"/>
      <c r="H191" s="666"/>
      <c r="I191" s="472"/>
      <c r="J191" s="180"/>
      <c r="K191" s="180"/>
      <c r="L191" s="180"/>
      <c r="M191" s="180"/>
      <c r="N191" s="180"/>
      <c r="O191" s="180"/>
      <c r="P191" s="180"/>
      <c r="Q191" s="180"/>
      <c r="R191" s="180"/>
      <c r="S191" s="180"/>
      <c r="T191" s="180"/>
      <c r="U191" s="180"/>
      <c r="V191" s="180"/>
      <c r="W191" s="180"/>
      <c r="X191" s="180"/>
      <c r="Y191" s="180"/>
      <c r="Z191" s="180"/>
      <c r="AA191" s="180"/>
      <c r="AB191" s="180"/>
    </row>
    <row r="192" ht="15.75" customHeight="1">
      <c r="A192" s="180"/>
      <c r="B192" s="180"/>
      <c r="C192" s="180"/>
      <c r="D192" s="180"/>
      <c r="E192" s="180"/>
      <c r="F192" s="472"/>
      <c r="G192" s="472"/>
      <c r="H192" s="666"/>
      <c r="I192" s="472"/>
      <c r="J192" s="180"/>
      <c r="K192" s="180"/>
      <c r="L192" s="180"/>
      <c r="M192" s="180"/>
      <c r="N192" s="180"/>
      <c r="O192" s="180"/>
      <c r="P192" s="180"/>
      <c r="Q192" s="180"/>
      <c r="R192" s="180"/>
      <c r="S192" s="180"/>
      <c r="T192" s="180"/>
      <c r="U192" s="180"/>
      <c r="V192" s="180"/>
      <c r="W192" s="180"/>
      <c r="X192" s="180"/>
      <c r="Y192" s="180"/>
      <c r="Z192" s="180"/>
      <c r="AA192" s="180"/>
      <c r="AB192" s="180"/>
    </row>
    <row r="193" ht="15.75" customHeight="1">
      <c r="A193" s="180"/>
      <c r="B193" s="180"/>
      <c r="C193" s="180"/>
      <c r="D193" s="180"/>
      <c r="E193" s="180"/>
      <c r="F193" s="472"/>
      <c r="G193" s="472"/>
      <c r="H193" s="666"/>
      <c r="I193" s="472"/>
      <c r="J193" s="180"/>
      <c r="K193" s="180"/>
      <c r="L193" s="180"/>
      <c r="M193" s="180"/>
      <c r="N193" s="180"/>
      <c r="O193" s="180"/>
      <c r="P193" s="180"/>
      <c r="Q193" s="180"/>
      <c r="R193" s="180"/>
      <c r="S193" s="180"/>
      <c r="T193" s="180"/>
      <c r="U193" s="180"/>
      <c r="V193" s="180"/>
      <c r="W193" s="180"/>
      <c r="X193" s="180"/>
      <c r="Y193" s="180"/>
      <c r="Z193" s="180"/>
      <c r="AA193" s="180"/>
      <c r="AB193" s="180"/>
    </row>
    <row r="194" ht="15.75" customHeight="1">
      <c r="A194" s="180"/>
      <c r="B194" s="180"/>
      <c r="C194" s="180"/>
      <c r="D194" s="180"/>
      <c r="E194" s="180"/>
      <c r="F194" s="472"/>
      <c r="G194" s="472"/>
      <c r="H194" s="666"/>
      <c r="I194" s="472"/>
      <c r="J194" s="180"/>
      <c r="K194" s="180"/>
      <c r="L194" s="180"/>
      <c r="M194" s="180"/>
      <c r="N194" s="180"/>
      <c r="O194" s="180"/>
      <c r="P194" s="180"/>
      <c r="Q194" s="180"/>
      <c r="R194" s="180"/>
      <c r="S194" s="180"/>
      <c r="T194" s="180"/>
      <c r="U194" s="180"/>
      <c r="V194" s="180"/>
      <c r="W194" s="180"/>
      <c r="X194" s="180"/>
      <c r="Y194" s="180"/>
      <c r="Z194" s="180"/>
      <c r="AA194" s="180"/>
      <c r="AB194" s="180"/>
    </row>
    <row r="195" ht="15.75" customHeight="1">
      <c r="A195" s="180"/>
      <c r="B195" s="180"/>
      <c r="C195" s="180"/>
      <c r="D195" s="180"/>
      <c r="E195" s="180"/>
      <c r="F195" s="472"/>
      <c r="G195" s="472"/>
      <c r="H195" s="666"/>
      <c r="I195" s="472"/>
      <c r="J195" s="180"/>
      <c r="K195" s="180"/>
      <c r="L195" s="180"/>
      <c r="M195" s="180"/>
      <c r="N195" s="180"/>
      <c r="O195" s="180"/>
      <c r="P195" s="180"/>
      <c r="Q195" s="180"/>
      <c r="R195" s="180"/>
      <c r="S195" s="180"/>
      <c r="T195" s="180"/>
      <c r="U195" s="180"/>
      <c r="V195" s="180"/>
      <c r="W195" s="180"/>
      <c r="X195" s="180"/>
      <c r="Y195" s="180"/>
      <c r="Z195" s="180"/>
      <c r="AA195" s="180"/>
      <c r="AB195" s="180"/>
    </row>
    <row r="196" ht="15.75" customHeight="1">
      <c r="A196" s="180"/>
      <c r="B196" s="180"/>
      <c r="C196" s="180"/>
      <c r="D196" s="180"/>
      <c r="E196" s="180"/>
      <c r="F196" s="472"/>
      <c r="G196" s="472"/>
      <c r="H196" s="666"/>
      <c r="I196" s="472"/>
      <c r="J196" s="180"/>
      <c r="K196" s="180"/>
      <c r="L196" s="180"/>
      <c r="M196" s="180"/>
      <c r="N196" s="180"/>
      <c r="O196" s="180"/>
      <c r="P196" s="180"/>
      <c r="Q196" s="180"/>
      <c r="R196" s="180"/>
      <c r="S196" s="180"/>
      <c r="T196" s="180"/>
      <c r="U196" s="180"/>
      <c r="V196" s="180"/>
      <c r="W196" s="180"/>
      <c r="X196" s="180"/>
      <c r="Y196" s="180"/>
      <c r="Z196" s="180"/>
      <c r="AA196" s="180"/>
      <c r="AB196" s="180"/>
    </row>
    <row r="197" ht="15.75" customHeight="1">
      <c r="A197" s="180"/>
      <c r="B197" s="180"/>
      <c r="C197" s="180"/>
      <c r="D197" s="180"/>
      <c r="E197" s="180"/>
      <c r="F197" s="472"/>
      <c r="G197" s="472"/>
      <c r="H197" s="666"/>
      <c r="I197" s="472"/>
      <c r="J197" s="180"/>
      <c r="K197" s="180"/>
      <c r="L197" s="180"/>
      <c r="M197" s="180"/>
      <c r="N197" s="180"/>
      <c r="O197" s="180"/>
      <c r="P197" s="180"/>
      <c r="Q197" s="180"/>
      <c r="R197" s="180"/>
      <c r="S197" s="180"/>
      <c r="T197" s="180"/>
      <c r="U197" s="180"/>
      <c r="V197" s="180"/>
      <c r="W197" s="180"/>
      <c r="X197" s="180"/>
      <c r="Y197" s="180"/>
      <c r="Z197" s="180"/>
      <c r="AA197" s="180"/>
      <c r="AB197" s="180"/>
    </row>
    <row r="198" ht="15.75" customHeight="1">
      <c r="A198" s="180"/>
      <c r="B198" s="180"/>
      <c r="C198" s="180"/>
      <c r="D198" s="180"/>
      <c r="E198" s="180"/>
      <c r="F198" s="472"/>
      <c r="G198" s="472"/>
      <c r="H198" s="666"/>
      <c r="I198" s="472"/>
      <c r="J198" s="180"/>
      <c r="K198" s="180"/>
      <c r="L198" s="180"/>
      <c r="M198" s="180"/>
      <c r="N198" s="180"/>
      <c r="O198" s="180"/>
      <c r="P198" s="180"/>
      <c r="Q198" s="180"/>
      <c r="R198" s="180"/>
      <c r="S198" s="180"/>
      <c r="T198" s="180"/>
      <c r="U198" s="180"/>
      <c r="V198" s="180"/>
      <c r="W198" s="180"/>
      <c r="X198" s="180"/>
      <c r="Y198" s="180"/>
      <c r="Z198" s="180"/>
      <c r="AA198" s="180"/>
      <c r="AB198" s="180"/>
    </row>
    <row r="199" ht="15.75" customHeight="1">
      <c r="A199" s="180"/>
      <c r="B199" s="180"/>
      <c r="C199" s="180"/>
      <c r="D199" s="180"/>
      <c r="E199" s="180"/>
      <c r="F199" s="472"/>
      <c r="G199" s="472"/>
      <c r="H199" s="666"/>
      <c r="I199" s="472"/>
      <c r="J199" s="180"/>
      <c r="K199" s="180"/>
      <c r="L199" s="180"/>
      <c r="M199" s="180"/>
      <c r="N199" s="180"/>
      <c r="O199" s="180"/>
      <c r="P199" s="180"/>
      <c r="Q199" s="180"/>
      <c r="R199" s="180"/>
      <c r="S199" s="180"/>
      <c r="T199" s="180"/>
      <c r="U199" s="180"/>
      <c r="V199" s="180"/>
      <c r="W199" s="180"/>
      <c r="X199" s="180"/>
      <c r="Y199" s="180"/>
      <c r="Z199" s="180"/>
      <c r="AA199" s="180"/>
      <c r="AB199" s="180"/>
    </row>
    <row r="200" ht="15.75" customHeight="1">
      <c r="A200" s="180"/>
      <c r="B200" s="180"/>
      <c r="C200" s="180"/>
      <c r="D200" s="180"/>
      <c r="E200" s="180"/>
      <c r="F200" s="472"/>
      <c r="G200" s="472"/>
      <c r="H200" s="666"/>
      <c r="I200" s="472"/>
      <c r="J200" s="180"/>
      <c r="K200" s="180"/>
      <c r="L200" s="180"/>
      <c r="M200" s="180"/>
      <c r="N200" s="180"/>
      <c r="O200" s="180"/>
      <c r="P200" s="180"/>
      <c r="Q200" s="180"/>
      <c r="R200" s="180"/>
      <c r="S200" s="180"/>
      <c r="T200" s="180"/>
      <c r="U200" s="180"/>
      <c r="V200" s="180"/>
      <c r="W200" s="180"/>
      <c r="X200" s="180"/>
      <c r="Y200" s="180"/>
      <c r="Z200" s="180"/>
      <c r="AA200" s="180"/>
      <c r="AB200" s="180"/>
    </row>
    <row r="201" ht="15.75" customHeight="1">
      <c r="A201" s="180"/>
      <c r="B201" s="180"/>
      <c r="C201" s="180"/>
      <c r="D201" s="180"/>
      <c r="E201" s="180"/>
      <c r="F201" s="472"/>
      <c r="G201" s="472"/>
      <c r="H201" s="666"/>
      <c r="I201" s="472"/>
      <c r="J201" s="180"/>
      <c r="K201" s="180"/>
      <c r="L201" s="180"/>
      <c r="M201" s="180"/>
      <c r="N201" s="180"/>
      <c r="O201" s="180"/>
      <c r="P201" s="180"/>
      <c r="Q201" s="180"/>
      <c r="R201" s="180"/>
      <c r="S201" s="180"/>
      <c r="T201" s="180"/>
      <c r="U201" s="180"/>
      <c r="V201" s="180"/>
      <c r="W201" s="180"/>
      <c r="X201" s="180"/>
      <c r="Y201" s="180"/>
      <c r="Z201" s="180"/>
      <c r="AA201" s="180"/>
      <c r="AB201" s="180"/>
    </row>
    <row r="202" ht="15.75" customHeight="1">
      <c r="A202" s="180"/>
      <c r="B202" s="180"/>
      <c r="C202" s="180"/>
      <c r="D202" s="180"/>
      <c r="E202" s="180"/>
      <c r="F202" s="472"/>
      <c r="G202" s="472"/>
      <c r="H202" s="666"/>
      <c r="I202" s="472"/>
      <c r="J202" s="180"/>
      <c r="K202" s="180"/>
      <c r="L202" s="180"/>
      <c r="M202" s="180"/>
      <c r="N202" s="180"/>
      <c r="O202" s="180"/>
      <c r="P202" s="180"/>
      <c r="Q202" s="180"/>
      <c r="R202" s="180"/>
      <c r="S202" s="180"/>
      <c r="T202" s="180"/>
      <c r="U202" s="180"/>
      <c r="V202" s="180"/>
      <c r="W202" s="180"/>
      <c r="X202" s="180"/>
      <c r="Y202" s="180"/>
      <c r="Z202" s="180"/>
      <c r="AA202" s="180"/>
      <c r="AB202" s="180"/>
    </row>
    <row r="203" ht="15.75" customHeight="1">
      <c r="A203" s="180"/>
      <c r="B203" s="180"/>
      <c r="C203" s="180"/>
      <c r="D203" s="180"/>
      <c r="E203" s="180"/>
      <c r="F203" s="472"/>
      <c r="G203" s="472"/>
      <c r="H203" s="666"/>
      <c r="I203" s="472"/>
      <c r="J203" s="180"/>
      <c r="K203" s="180"/>
      <c r="L203" s="180"/>
      <c r="M203" s="180"/>
      <c r="N203" s="180"/>
      <c r="O203" s="180"/>
      <c r="P203" s="180"/>
      <c r="Q203" s="180"/>
      <c r="R203" s="180"/>
      <c r="S203" s="180"/>
      <c r="T203" s="180"/>
      <c r="U203" s="180"/>
      <c r="V203" s="180"/>
      <c r="W203" s="180"/>
      <c r="X203" s="180"/>
      <c r="Y203" s="180"/>
      <c r="Z203" s="180"/>
      <c r="AA203" s="180"/>
      <c r="AB203" s="180"/>
    </row>
    <row r="204" ht="15.75" customHeight="1">
      <c r="A204" s="180"/>
      <c r="B204" s="180"/>
      <c r="C204" s="180"/>
      <c r="D204" s="180"/>
      <c r="E204" s="180"/>
      <c r="F204" s="472"/>
      <c r="G204" s="472"/>
      <c r="H204" s="666"/>
      <c r="I204" s="472"/>
      <c r="J204" s="180"/>
      <c r="K204" s="180"/>
      <c r="L204" s="180"/>
      <c r="M204" s="180"/>
      <c r="N204" s="180"/>
      <c r="O204" s="180"/>
      <c r="P204" s="180"/>
      <c r="Q204" s="180"/>
      <c r="R204" s="180"/>
      <c r="S204" s="180"/>
      <c r="T204" s="180"/>
      <c r="U204" s="180"/>
      <c r="V204" s="180"/>
      <c r="W204" s="180"/>
      <c r="X204" s="180"/>
      <c r="Y204" s="180"/>
      <c r="Z204" s="180"/>
      <c r="AA204" s="180"/>
      <c r="AB204" s="180"/>
    </row>
    <row r="205" ht="15.75" customHeight="1">
      <c r="A205" s="180"/>
      <c r="B205" s="180"/>
      <c r="C205" s="180"/>
      <c r="D205" s="180"/>
      <c r="E205" s="180"/>
      <c r="F205" s="472"/>
      <c r="G205" s="472"/>
      <c r="H205" s="666"/>
      <c r="I205" s="472"/>
      <c r="J205" s="180"/>
      <c r="K205" s="180"/>
      <c r="L205" s="180"/>
      <c r="M205" s="180"/>
      <c r="N205" s="180"/>
      <c r="O205" s="180"/>
      <c r="P205" s="180"/>
      <c r="Q205" s="180"/>
      <c r="R205" s="180"/>
      <c r="S205" s="180"/>
      <c r="T205" s="180"/>
      <c r="U205" s="180"/>
      <c r="V205" s="180"/>
      <c r="W205" s="180"/>
      <c r="X205" s="180"/>
      <c r="Y205" s="180"/>
      <c r="Z205" s="180"/>
      <c r="AA205" s="180"/>
      <c r="AB205" s="180"/>
    </row>
    <row r="206" ht="15.75" customHeight="1">
      <c r="A206" s="180"/>
      <c r="B206" s="180"/>
      <c r="C206" s="180"/>
      <c r="D206" s="180"/>
      <c r="E206" s="180"/>
      <c r="F206" s="472"/>
      <c r="G206" s="472"/>
      <c r="H206" s="666"/>
      <c r="I206" s="472"/>
      <c r="J206" s="180"/>
      <c r="K206" s="180"/>
      <c r="L206" s="180"/>
      <c r="M206" s="180"/>
      <c r="N206" s="180"/>
      <c r="O206" s="180"/>
      <c r="P206" s="180"/>
      <c r="Q206" s="180"/>
      <c r="R206" s="180"/>
      <c r="S206" s="180"/>
      <c r="T206" s="180"/>
      <c r="U206" s="180"/>
      <c r="V206" s="180"/>
      <c r="W206" s="180"/>
      <c r="X206" s="180"/>
      <c r="Y206" s="180"/>
      <c r="Z206" s="180"/>
      <c r="AA206" s="180"/>
      <c r="AB206" s="180"/>
    </row>
    <row r="207" ht="15.75" customHeight="1">
      <c r="A207" s="180"/>
      <c r="B207" s="180"/>
      <c r="C207" s="180"/>
      <c r="D207" s="180"/>
      <c r="E207" s="180"/>
      <c r="F207" s="472"/>
      <c r="G207" s="472"/>
      <c r="H207" s="666"/>
      <c r="I207" s="472"/>
      <c r="J207" s="180"/>
      <c r="K207" s="180"/>
      <c r="L207" s="180"/>
      <c r="M207" s="180"/>
      <c r="N207" s="180"/>
      <c r="O207" s="180"/>
      <c r="P207" s="180"/>
      <c r="Q207" s="180"/>
      <c r="R207" s="180"/>
      <c r="S207" s="180"/>
      <c r="T207" s="180"/>
      <c r="U207" s="180"/>
      <c r="V207" s="180"/>
      <c r="W207" s="180"/>
      <c r="X207" s="180"/>
      <c r="Y207" s="180"/>
      <c r="Z207" s="180"/>
      <c r="AA207" s="180"/>
      <c r="AB207" s="180"/>
    </row>
    <row r="208" ht="15.75" customHeight="1">
      <c r="A208" s="180"/>
      <c r="B208" s="180"/>
      <c r="C208" s="180"/>
      <c r="D208" s="180"/>
      <c r="E208" s="180"/>
      <c r="F208" s="472"/>
      <c r="G208" s="472"/>
      <c r="H208" s="666"/>
      <c r="I208" s="472"/>
      <c r="J208" s="180"/>
      <c r="K208" s="180"/>
      <c r="L208" s="180"/>
      <c r="M208" s="180"/>
      <c r="N208" s="180"/>
      <c r="O208" s="180"/>
      <c r="P208" s="180"/>
      <c r="Q208" s="180"/>
      <c r="R208" s="180"/>
      <c r="S208" s="180"/>
      <c r="T208" s="180"/>
      <c r="U208" s="180"/>
      <c r="V208" s="180"/>
      <c r="W208" s="180"/>
      <c r="X208" s="180"/>
      <c r="Y208" s="180"/>
      <c r="Z208" s="180"/>
      <c r="AA208" s="180"/>
      <c r="AB208" s="180"/>
    </row>
    <row r="209" ht="15.75" customHeight="1">
      <c r="A209" s="180"/>
      <c r="B209" s="180"/>
      <c r="C209" s="180"/>
      <c r="D209" s="180"/>
      <c r="E209" s="180"/>
      <c r="F209" s="472"/>
      <c r="G209" s="472"/>
      <c r="H209" s="666"/>
      <c r="I209" s="472"/>
      <c r="J209" s="180"/>
      <c r="K209" s="180"/>
      <c r="L209" s="180"/>
      <c r="M209" s="180"/>
      <c r="N209" s="180"/>
      <c r="O209" s="180"/>
      <c r="P209" s="180"/>
      <c r="Q209" s="180"/>
      <c r="R209" s="180"/>
      <c r="S209" s="180"/>
      <c r="T209" s="180"/>
      <c r="U209" s="180"/>
      <c r="V209" s="180"/>
      <c r="W209" s="180"/>
      <c r="X209" s="180"/>
      <c r="Y209" s="180"/>
      <c r="Z209" s="180"/>
      <c r="AA209" s="180"/>
      <c r="AB209" s="180"/>
    </row>
    <row r="210" ht="15.75" customHeight="1">
      <c r="A210" s="180"/>
      <c r="B210" s="180"/>
      <c r="C210" s="180"/>
      <c r="D210" s="180"/>
      <c r="E210" s="180"/>
      <c r="F210" s="472"/>
      <c r="G210" s="472"/>
      <c r="H210" s="666"/>
      <c r="I210" s="472"/>
      <c r="J210" s="180"/>
      <c r="K210" s="180"/>
      <c r="L210" s="180"/>
      <c r="M210" s="180"/>
      <c r="N210" s="180"/>
      <c r="O210" s="180"/>
      <c r="P210" s="180"/>
      <c r="Q210" s="180"/>
      <c r="R210" s="180"/>
      <c r="S210" s="180"/>
      <c r="T210" s="180"/>
      <c r="U210" s="180"/>
      <c r="V210" s="180"/>
      <c r="W210" s="180"/>
      <c r="X210" s="180"/>
      <c r="Y210" s="180"/>
      <c r="Z210" s="180"/>
      <c r="AA210" s="180"/>
      <c r="AB210" s="180"/>
    </row>
    <row r="211" ht="15.75" customHeight="1">
      <c r="A211" s="180"/>
      <c r="B211" s="180"/>
      <c r="C211" s="180"/>
      <c r="D211" s="180"/>
      <c r="E211" s="180"/>
      <c r="F211" s="472"/>
      <c r="G211" s="472"/>
      <c r="H211" s="666"/>
      <c r="I211" s="472"/>
      <c r="J211" s="180"/>
      <c r="K211" s="180"/>
      <c r="L211" s="180"/>
      <c r="M211" s="180"/>
      <c r="N211" s="180"/>
      <c r="O211" s="180"/>
      <c r="P211" s="180"/>
      <c r="Q211" s="180"/>
      <c r="R211" s="180"/>
      <c r="S211" s="180"/>
      <c r="T211" s="180"/>
      <c r="U211" s="180"/>
      <c r="V211" s="180"/>
      <c r="W211" s="180"/>
      <c r="X211" s="180"/>
      <c r="Y211" s="180"/>
      <c r="Z211" s="180"/>
      <c r="AA211" s="180"/>
      <c r="AB211" s="180"/>
    </row>
    <row r="212" ht="15.75" customHeight="1">
      <c r="A212" s="180"/>
      <c r="B212" s="180"/>
      <c r="C212" s="180"/>
      <c r="D212" s="180"/>
      <c r="E212" s="180"/>
      <c r="F212" s="472"/>
      <c r="G212" s="472"/>
      <c r="H212" s="666"/>
      <c r="I212" s="472"/>
      <c r="J212" s="180"/>
      <c r="K212" s="180"/>
      <c r="L212" s="180"/>
      <c r="M212" s="180"/>
      <c r="N212" s="180"/>
      <c r="O212" s="180"/>
      <c r="P212" s="180"/>
      <c r="Q212" s="180"/>
      <c r="R212" s="180"/>
      <c r="S212" s="180"/>
      <c r="T212" s="180"/>
      <c r="U212" s="180"/>
      <c r="V212" s="180"/>
      <c r="W212" s="180"/>
      <c r="X212" s="180"/>
      <c r="Y212" s="180"/>
      <c r="Z212" s="180"/>
      <c r="AA212" s="180"/>
      <c r="AB212" s="180"/>
    </row>
    <row r="213" ht="15.75" customHeight="1">
      <c r="A213" s="180"/>
      <c r="B213" s="180"/>
      <c r="C213" s="180"/>
      <c r="D213" s="180"/>
      <c r="E213" s="180"/>
      <c r="F213" s="472"/>
      <c r="G213" s="472"/>
      <c r="H213" s="666"/>
      <c r="I213" s="472"/>
      <c r="J213" s="180"/>
      <c r="K213" s="180"/>
      <c r="L213" s="180"/>
      <c r="M213" s="180"/>
      <c r="N213" s="180"/>
      <c r="O213" s="180"/>
      <c r="P213" s="180"/>
      <c r="Q213" s="180"/>
      <c r="R213" s="180"/>
      <c r="S213" s="180"/>
      <c r="T213" s="180"/>
      <c r="U213" s="180"/>
      <c r="V213" s="180"/>
      <c r="W213" s="180"/>
      <c r="X213" s="180"/>
      <c r="Y213" s="180"/>
      <c r="Z213" s="180"/>
      <c r="AA213" s="180"/>
      <c r="AB213" s="180"/>
    </row>
    <row r="214" ht="15.75" customHeight="1">
      <c r="A214" s="180"/>
      <c r="B214" s="180"/>
      <c r="C214" s="180"/>
      <c r="D214" s="180"/>
      <c r="E214" s="180"/>
      <c r="F214" s="472"/>
      <c r="G214" s="472"/>
      <c r="H214" s="666"/>
      <c r="I214" s="472"/>
      <c r="J214" s="180"/>
      <c r="K214" s="180"/>
      <c r="L214" s="180"/>
      <c r="M214" s="180"/>
      <c r="N214" s="180"/>
      <c r="O214" s="180"/>
      <c r="P214" s="180"/>
      <c r="Q214" s="180"/>
      <c r="R214" s="180"/>
      <c r="S214" s="180"/>
      <c r="T214" s="180"/>
      <c r="U214" s="180"/>
      <c r="V214" s="180"/>
      <c r="W214" s="180"/>
      <c r="X214" s="180"/>
      <c r="Y214" s="180"/>
      <c r="Z214" s="180"/>
      <c r="AA214" s="180"/>
      <c r="AB214" s="180"/>
    </row>
    <row r="215" ht="15.75" customHeight="1">
      <c r="A215" s="180"/>
      <c r="B215" s="180"/>
      <c r="C215" s="180"/>
      <c r="D215" s="180"/>
      <c r="E215" s="180"/>
      <c r="F215" s="472"/>
      <c r="G215" s="472"/>
      <c r="H215" s="666"/>
      <c r="I215" s="472"/>
      <c r="J215" s="180"/>
      <c r="K215" s="180"/>
      <c r="L215" s="180"/>
      <c r="M215" s="180"/>
      <c r="N215" s="180"/>
      <c r="O215" s="180"/>
      <c r="P215" s="180"/>
      <c r="Q215" s="180"/>
      <c r="R215" s="180"/>
      <c r="S215" s="180"/>
      <c r="T215" s="180"/>
      <c r="U215" s="180"/>
      <c r="V215" s="180"/>
      <c r="W215" s="180"/>
      <c r="X215" s="180"/>
      <c r="Y215" s="180"/>
      <c r="Z215" s="180"/>
      <c r="AA215" s="180"/>
      <c r="AB215" s="180"/>
    </row>
    <row r="216" ht="15.75" customHeight="1">
      <c r="A216" s="180"/>
      <c r="B216" s="180"/>
      <c r="C216" s="180"/>
      <c r="D216" s="180"/>
      <c r="E216" s="180"/>
      <c r="F216" s="472"/>
      <c r="G216" s="472"/>
      <c r="H216" s="666"/>
      <c r="I216" s="472"/>
      <c r="J216" s="180"/>
      <c r="K216" s="180"/>
      <c r="L216" s="180"/>
      <c r="M216" s="180"/>
      <c r="N216" s="180"/>
      <c r="O216" s="180"/>
      <c r="P216" s="180"/>
      <c r="Q216" s="180"/>
      <c r="R216" s="180"/>
      <c r="S216" s="180"/>
      <c r="T216" s="180"/>
      <c r="U216" s="180"/>
      <c r="V216" s="180"/>
      <c r="W216" s="180"/>
      <c r="X216" s="180"/>
      <c r="Y216" s="180"/>
      <c r="Z216" s="180"/>
      <c r="AA216" s="180"/>
      <c r="AB216" s="180"/>
    </row>
    <row r="217" ht="15.75" customHeight="1">
      <c r="A217" s="180"/>
      <c r="B217" s="180"/>
      <c r="C217" s="180"/>
      <c r="D217" s="180"/>
      <c r="E217" s="180"/>
      <c r="F217" s="472"/>
      <c r="G217" s="472"/>
      <c r="H217" s="666"/>
      <c r="I217" s="472"/>
      <c r="J217" s="180"/>
      <c r="K217" s="180"/>
      <c r="L217" s="180"/>
      <c r="M217" s="180"/>
      <c r="N217" s="180"/>
      <c r="O217" s="180"/>
      <c r="P217" s="180"/>
      <c r="Q217" s="180"/>
      <c r="R217" s="180"/>
      <c r="S217" s="180"/>
      <c r="T217" s="180"/>
      <c r="U217" s="180"/>
      <c r="V217" s="180"/>
      <c r="W217" s="180"/>
      <c r="X217" s="180"/>
      <c r="Y217" s="180"/>
      <c r="Z217" s="180"/>
      <c r="AA217" s="180"/>
      <c r="AB217" s="180"/>
    </row>
    <row r="218" ht="15.75" customHeight="1">
      <c r="A218" s="180"/>
      <c r="B218" s="180"/>
      <c r="C218" s="180"/>
      <c r="D218" s="180"/>
      <c r="E218" s="180"/>
      <c r="F218" s="472"/>
      <c r="G218" s="472"/>
      <c r="H218" s="666"/>
      <c r="I218" s="472"/>
      <c r="J218" s="180"/>
      <c r="K218" s="180"/>
      <c r="L218" s="180"/>
      <c r="M218" s="180"/>
      <c r="N218" s="180"/>
      <c r="O218" s="180"/>
      <c r="P218" s="180"/>
      <c r="Q218" s="180"/>
      <c r="R218" s="180"/>
      <c r="S218" s="180"/>
      <c r="T218" s="180"/>
      <c r="U218" s="180"/>
      <c r="V218" s="180"/>
      <c r="W218" s="180"/>
      <c r="X218" s="180"/>
      <c r="Y218" s="180"/>
      <c r="Z218" s="180"/>
      <c r="AA218" s="180"/>
      <c r="AB218" s="180"/>
    </row>
    <row r="219" ht="15.75" customHeight="1">
      <c r="A219" s="180"/>
      <c r="B219" s="180"/>
      <c r="C219" s="180"/>
      <c r="D219" s="180"/>
      <c r="E219" s="180"/>
      <c r="F219" s="472"/>
      <c r="G219" s="472"/>
      <c r="H219" s="666"/>
      <c r="I219" s="472"/>
      <c r="J219" s="180"/>
      <c r="K219" s="180"/>
      <c r="L219" s="180"/>
      <c r="M219" s="180"/>
      <c r="N219" s="180"/>
      <c r="O219" s="180"/>
      <c r="P219" s="180"/>
      <c r="Q219" s="180"/>
      <c r="R219" s="180"/>
      <c r="S219" s="180"/>
      <c r="T219" s="180"/>
      <c r="U219" s="180"/>
      <c r="V219" s="180"/>
      <c r="W219" s="180"/>
      <c r="X219" s="180"/>
      <c r="Y219" s="180"/>
      <c r="Z219" s="180"/>
      <c r="AA219" s="180"/>
      <c r="AB219" s="180"/>
    </row>
    <row r="220" ht="15.75" customHeight="1">
      <c r="A220" s="180"/>
      <c r="B220" s="180"/>
      <c r="C220" s="180"/>
      <c r="D220" s="180"/>
      <c r="E220" s="180"/>
      <c r="F220" s="472"/>
      <c r="G220" s="472"/>
      <c r="H220" s="666"/>
      <c r="I220" s="472"/>
      <c r="J220" s="180"/>
      <c r="K220" s="180"/>
      <c r="L220" s="180"/>
      <c r="M220" s="180"/>
      <c r="N220" s="180"/>
      <c r="O220" s="180"/>
      <c r="P220" s="180"/>
      <c r="Q220" s="180"/>
      <c r="R220" s="180"/>
      <c r="S220" s="180"/>
      <c r="T220" s="180"/>
      <c r="U220" s="180"/>
      <c r="V220" s="180"/>
      <c r="W220" s="180"/>
      <c r="X220" s="180"/>
      <c r="Y220" s="180"/>
      <c r="Z220" s="180"/>
      <c r="AA220" s="180"/>
      <c r="AB220" s="18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L12 L45 L51:L73 L79 L93:L94">
    <cfRule type="cellIs" dxfId="4" priority="1" operator="greaterThan">
      <formula>0</formula>
    </cfRule>
  </conditionalFormatting>
  <conditionalFormatting sqref="L12 L45 L51:L73 L79 L93:L94">
    <cfRule type="cellIs" dxfId="5" priority="2" operator="lessThan">
      <formula>0</formula>
    </cfRule>
  </conditionalFormatting>
  <conditionalFormatting sqref="L4:L12 L26:L45 L71 L79">
    <cfRule type="cellIs" dxfId="6" priority="3" operator="greaterThan">
      <formula>0</formula>
    </cfRule>
  </conditionalFormatting>
  <conditionalFormatting sqref="L4:L12 L26:L45 L71 L79">
    <cfRule type="cellIs" dxfId="5" priority="4" operator="lessThan">
      <formula>0</formula>
    </cfRule>
  </conditionalFormatting>
  <conditionalFormatting sqref="L74:L90">
    <cfRule type="cellIs" dxfId="4" priority="5" operator="greaterThan">
      <formula>0</formula>
    </cfRule>
  </conditionalFormatting>
  <conditionalFormatting sqref="L74:L90">
    <cfRule type="cellIs" dxfId="5" priority="6" operator="lessThan">
      <formula>0</formula>
    </cfRule>
  </conditionalFormatting>
  <conditionalFormatting sqref="K51:K70">
    <cfRule type="cellIs" dxfId="7" priority="7" operator="greaterThan">
      <formula>0</formula>
    </cfRule>
  </conditionalFormatting>
  <conditionalFormatting sqref="K51:K70">
    <cfRule type="cellIs" dxfId="8" priority="8" operator="lessThan">
      <formula>0</formula>
    </cfRule>
  </conditionalFormatting>
  <conditionalFormatting sqref="K4:K11">
    <cfRule type="cellIs" dxfId="7" priority="9" operator="greaterThan">
      <formula>0</formula>
    </cfRule>
  </conditionalFormatting>
  <conditionalFormatting sqref="K4:K11">
    <cfRule type="cellIs" dxfId="8" priority="10" operator="lessThan">
      <formula>0</formula>
    </cfRule>
  </conditionalFormatting>
  <conditionalFormatting sqref="K74:K78 K80:K90">
    <cfRule type="cellIs" dxfId="7" priority="11" operator="greaterThan">
      <formula>0</formula>
    </cfRule>
  </conditionalFormatting>
  <conditionalFormatting sqref="K74:K78 K80:K90">
    <cfRule type="cellIs" dxfId="5" priority="12" operator="lessThan">
      <formula>0</formula>
    </cfRule>
  </conditionalFormatting>
  <conditionalFormatting sqref="K26:K44">
    <cfRule type="cellIs" dxfId="7" priority="13" operator="greaterThan">
      <formula>0</formula>
    </cfRule>
  </conditionalFormatting>
  <conditionalFormatting sqref="K26:K44">
    <cfRule type="cellIs" dxfId="5" priority="14" operator="lessThan">
      <formula>0</formula>
    </cfRule>
  </conditionalFormatting>
  <hyperlinks>
    <hyperlink r:id="rId1" ref="A4"/>
    <hyperlink r:id="rId2" ref="A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0"/>
  <cols>
    <col customWidth="1" min="1" max="1" width="54.63"/>
    <col customWidth="1" min="2" max="2" width="7.63"/>
    <col customWidth="1" min="3" max="3" width="17.75"/>
    <col customWidth="1" min="4" max="5" width="12.63"/>
    <col customWidth="1" min="6" max="6" width="26.75"/>
    <col customWidth="1" min="8" max="8" width="13.25"/>
  </cols>
  <sheetData>
    <row r="1" ht="15.75" customHeight="1">
      <c r="A1" s="65" t="s">
        <v>116</v>
      </c>
      <c r="B1" s="66"/>
      <c r="C1" s="67"/>
      <c r="D1" s="67"/>
      <c r="E1" s="67"/>
      <c r="F1" s="67"/>
      <c r="G1" s="54"/>
      <c r="H1" s="54"/>
    </row>
    <row r="2" ht="15.75" customHeight="1">
      <c r="A2" s="68"/>
      <c r="B2" s="66"/>
      <c r="C2" s="67"/>
      <c r="D2" s="67"/>
      <c r="E2" s="67"/>
      <c r="F2" s="67"/>
      <c r="G2" s="54"/>
      <c r="H2" s="54"/>
    </row>
    <row r="3" ht="15.75" customHeight="1">
      <c r="A3" s="69" t="s">
        <v>117</v>
      </c>
      <c r="B3" s="70">
        <v>0.15</v>
      </c>
      <c r="C3" s="67"/>
      <c r="D3" s="67"/>
      <c r="E3" s="67"/>
      <c r="F3" s="67"/>
      <c r="G3" s="54"/>
      <c r="H3" s="54"/>
    </row>
    <row r="4" ht="15.75" customHeight="1">
      <c r="A4" s="71" t="s">
        <v>118</v>
      </c>
      <c r="B4" s="72">
        <v>0.15</v>
      </c>
      <c r="C4" s="67"/>
      <c r="D4" s="67"/>
      <c r="E4" s="67"/>
      <c r="F4" s="67"/>
      <c r="G4" s="54"/>
      <c r="H4" s="54"/>
    </row>
    <row r="5" ht="15.75" customHeight="1">
      <c r="A5" s="69" t="s">
        <v>119</v>
      </c>
      <c r="B5" s="70">
        <v>0.5</v>
      </c>
      <c r="C5" s="67"/>
      <c r="D5" s="67"/>
      <c r="E5" s="67"/>
      <c r="F5" s="67"/>
      <c r="G5" s="54"/>
      <c r="H5" s="54"/>
    </row>
    <row r="6" ht="15.75" customHeight="1">
      <c r="A6" s="71" t="s">
        <v>59</v>
      </c>
      <c r="B6" s="73">
        <v>0.0</v>
      </c>
      <c r="C6" s="67"/>
      <c r="D6" s="67"/>
      <c r="E6" s="67"/>
      <c r="F6" s="67"/>
      <c r="G6" s="54"/>
      <c r="H6" s="54"/>
    </row>
    <row r="7" ht="15.75" customHeight="1">
      <c r="A7" s="69" t="s">
        <v>120</v>
      </c>
      <c r="B7" s="73">
        <v>0.1</v>
      </c>
      <c r="C7" s="67"/>
      <c r="D7" s="67"/>
      <c r="E7" s="67"/>
      <c r="F7" s="67"/>
      <c r="G7" s="54"/>
      <c r="H7" s="54"/>
    </row>
    <row r="8" ht="15.75" customHeight="1">
      <c r="A8" s="69" t="s">
        <v>121</v>
      </c>
      <c r="B8" s="70">
        <v>0.1</v>
      </c>
      <c r="C8" s="67"/>
      <c r="D8" s="67"/>
      <c r="E8" s="67"/>
      <c r="F8" s="67"/>
      <c r="G8" s="54"/>
      <c r="H8" s="54"/>
    </row>
    <row r="9" ht="15.75" customHeight="1">
      <c r="A9" s="74" t="s">
        <v>122</v>
      </c>
      <c r="B9" s="75">
        <f>sum(B3:B8)</f>
        <v>1</v>
      </c>
      <c r="C9" s="67"/>
      <c r="D9" s="67"/>
      <c r="E9" s="67"/>
      <c r="F9" s="67"/>
      <c r="G9" s="54"/>
      <c r="H9" s="54"/>
    </row>
    <row r="10" ht="15.75" customHeight="1">
      <c r="A10" s="68"/>
      <c r="B10" s="66"/>
      <c r="C10" s="67"/>
      <c r="D10" s="67"/>
      <c r="E10" s="67"/>
      <c r="F10" s="67"/>
      <c r="G10" s="54"/>
      <c r="H10" s="54"/>
    </row>
    <row r="11" ht="15.75" customHeight="1">
      <c r="A11" s="76" t="s">
        <v>123</v>
      </c>
      <c r="B11" s="77"/>
      <c r="C11" s="67"/>
      <c r="D11" s="67"/>
      <c r="E11" s="67"/>
      <c r="F11" s="67"/>
      <c r="G11" s="54"/>
      <c r="H11" s="54"/>
    </row>
    <row r="12" ht="15.75" customHeight="1">
      <c r="A12" s="76" t="s">
        <v>124</v>
      </c>
      <c r="B12" s="77"/>
      <c r="C12" s="67"/>
      <c r="D12" s="67"/>
      <c r="E12" s="67"/>
      <c r="F12" s="67"/>
      <c r="G12" s="54"/>
      <c r="H12" s="54"/>
    </row>
    <row r="13" ht="15.75" customHeight="1">
      <c r="A13" s="78" t="s">
        <v>125</v>
      </c>
      <c r="B13" s="79"/>
      <c r="C13" s="80"/>
      <c r="D13" s="80"/>
      <c r="E13" s="80"/>
      <c r="F13" s="80"/>
      <c r="G13" s="54"/>
      <c r="H13" s="54"/>
      <c r="I13" s="54"/>
      <c r="J13" s="54"/>
      <c r="K13" s="54"/>
      <c r="L13" s="54"/>
      <c r="M13" s="54"/>
      <c r="N13" s="54"/>
      <c r="O13" s="54"/>
      <c r="P13" s="54"/>
      <c r="Q13" s="54"/>
      <c r="R13" s="54"/>
      <c r="S13" s="54"/>
      <c r="T13" s="54"/>
      <c r="U13" s="54"/>
      <c r="V13" s="54"/>
    </row>
    <row r="14" ht="15.75" customHeight="1">
      <c r="A14" s="81" t="s">
        <v>126</v>
      </c>
      <c r="B14" s="79"/>
      <c r="C14" s="80"/>
      <c r="D14" s="80"/>
      <c r="E14" s="80"/>
      <c r="F14" s="80"/>
      <c r="G14" s="54"/>
      <c r="H14" s="54"/>
      <c r="I14" s="54"/>
      <c r="J14" s="54"/>
      <c r="K14" s="54"/>
      <c r="L14" s="54"/>
      <c r="M14" s="54"/>
      <c r="N14" s="54"/>
      <c r="O14" s="54"/>
      <c r="P14" s="54"/>
      <c r="Q14" s="54"/>
      <c r="R14" s="54"/>
      <c r="S14" s="54"/>
      <c r="T14" s="54"/>
      <c r="U14" s="54"/>
      <c r="V14" s="54"/>
    </row>
    <row r="15" ht="15.75" customHeight="1">
      <c r="A15" s="82" t="s">
        <v>127</v>
      </c>
      <c r="B15" s="79"/>
      <c r="C15" s="80"/>
      <c r="D15" s="80"/>
      <c r="E15" s="80"/>
      <c r="F15" s="80"/>
      <c r="G15" s="54"/>
      <c r="H15" s="54"/>
      <c r="I15" s="54"/>
      <c r="J15" s="54"/>
      <c r="K15" s="54"/>
      <c r="L15" s="54"/>
      <c r="M15" s="54"/>
      <c r="N15" s="54"/>
      <c r="O15" s="54"/>
      <c r="P15" s="54"/>
      <c r="Q15" s="54"/>
      <c r="R15" s="54"/>
      <c r="S15" s="54"/>
      <c r="T15" s="54"/>
      <c r="U15" s="54"/>
      <c r="V15" s="54"/>
    </row>
    <row r="16" ht="15.75" customHeight="1">
      <c r="A16" s="83"/>
      <c r="B16" s="79"/>
      <c r="C16" s="80"/>
      <c r="D16" s="80"/>
      <c r="E16" s="80"/>
      <c r="F16" s="80"/>
      <c r="G16" s="54"/>
      <c r="H16" s="54"/>
      <c r="I16" s="54"/>
      <c r="J16" s="54"/>
      <c r="K16" s="54"/>
      <c r="L16" s="54"/>
      <c r="M16" s="54"/>
      <c r="N16" s="54"/>
      <c r="O16" s="54"/>
      <c r="P16" s="54"/>
      <c r="Q16" s="54"/>
      <c r="R16" s="54"/>
      <c r="S16" s="54"/>
      <c r="T16" s="54"/>
      <c r="U16" s="54"/>
      <c r="V16" s="54"/>
    </row>
    <row r="17" ht="15.75" customHeight="1">
      <c r="A17" s="68" t="s">
        <v>128</v>
      </c>
      <c r="B17" s="66"/>
      <c r="C17" s="67"/>
      <c r="D17" s="67"/>
      <c r="E17" s="67"/>
      <c r="F17" s="67"/>
      <c r="G17" s="54"/>
      <c r="H17" s="54"/>
    </row>
    <row r="18" ht="15.75" customHeight="1">
      <c r="A18" s="68"/>
      <c r="B18" s="66"/>
      <c r="C18" s="67"/>
      <c r="D18" s="67"/>
      <c r="E18" s="67"/>
      <c r="F18" s="67"/>
      <c r="G18" s="54"/>
      <c r="H18" s="54"/>
    </row>
    <row r="19" ht="15.75" customHeight="1">
      <c r="A19" s="69" t="s">
        <v>129</v>
      </c>
      <c r="B19" s="73">
        <v>0.2</v>
      </c>
      <c r="C19" s="67"/>
      <c r="D19" s="67"/>
      <c r="E19" s="67"/>
      <c r="F19" s="67"/>
      <c r="G19" s="54"/>
      <c r="H19" s="54"/>
    </row>
    <row r="20" ht="15.75" customHeight="1">
      <c r="A20" s="71" t="s">
        <v>65</v>
      </c>
      <c r="B20" s="72">
        <v>0.1</v>
      </c>
      <c r="C20" s="67"/>
      <c r="D20" s="67"/>
      <c r="E20" s="67"/>
      <c r="F20" s="67"/>
      <c r="G20" s="54"/>
      <c r="H20" s="54"/>
    </row>
    <row r="21" ht="15.75" customHeight="1">
      <c r="A21" s="71" t="s">
        <v>130</v>
      </c>
      <c r="B21" s="73">
        <v>0.4</v>
      </c>
      <c r="C21" s="67"/>
      <c r="D21" s="67"/>
      <c r="E21" s="67"/>
      <c r="F21" s="67"/>
      <c r="G21" s="54"/>
      <c r="H21" s="54"/>
    </row>
    <row r="22" ht="15.75" customHeight="1">
      <c r="A22" s="71" t="s">
        <v>59</v>
      </c>
      <c r="B22" s="73">
        <v>0.0</v>
      </c>
      <c r="C22" s="67"/>
      <c r="D22" s="67"/>
      <c r="E22" s="67"/>
      <c r="F22" s="67"/>
      <c r="G22" s="84"/>
      <c r="H22" s="84"/>
    </row>
    <row r="23" ht="15.75" customHeight="1">
      <c r="A23" s="68" t="s">
        <v>0</v>
      </c>
      <c r="B23" s="85">
        <v>0.05</v>
      </c>
      <c r="C23" s="67"/>
      <c r="D23" s="67"/>
      <c r="E23" s="67"/>
      <c r="F23" s="67"/>
      <c r="G23" s="54"/>
      <c r="H23" s="54"/>
    </row>
    <row r="24" ht="15.75" customHeight="1">
      <c r="A24" s="68" t="s">
        <v>24</v>
      </c>
      <c r="B24" s="85">
        <v>0.25</v>
      </c>
      <c r="C24" s="67"/>
      <c r="D24" s="67"/>
      <c r="E24" s="67"/>
      <c r="F24" s="67"/>
      <c r="G24" s="54"/>
      <c r="H24" s="54"/>
    </row>
    <row r="25" ht="15.75" customHeight="1">
      <c r="A25" s="74" t="s">
        <v>122</v>
      </c>
      <c r="B25" s="75">
        <f>sum(B19:B24)</f>
        <v>1</v>
      </c>
      <c r="C25" s="67"/>
      <c r="D25" s="67"/>
      <c r="E25" s="67"/>
      <c r="F25" s="67"/>
      <c r="G25" s="54"/>
      <c r="H25" s="54"/>
    </row>
    <row r="26" ht="15.75" customHeight="1">
      <c r="A26" s="67"/>
      <c r="B26" s="67"/>
      <c r="C26" s="67"/>
      <c r="D26" s="67"/>
      <c r="E26" s="67"/>
      <c r="F26" s="67"/>
    </row>
    <row r="27" ht="15.75" customHeight="1">
      <c r="A27" s="67"/>
      <c r="B27" s="67"/>
      <c r="C27" s="67"/>
      <c r="D27" s="67"/>
      <c r="E27" s="67"/>
      <c r="F27" s="67"/>
    </row>
    <row r="28" ht="15.75" customHeight="1">
      <c r="A28" s="67"/>
      <c r="B28" s="67"/>
      <c r="C28" s="67"/>
      <c r="D28" s="67"/>
      <c r="E28" s="67"/>
      <c r="F28" s="67"/>
    </row>
    <row r="29" ht="15.75" customHeight="1">
      <c r="A29" s="78" t="s">
        <v>127</v>
      </c>
      <c r="B29" s="80"/>
      <c r="C29" s="80"/>
      <c r="D29" s="80"/>
      <c r="E29" s="80"/>
      <c r="F29" s="80"/>
    </row>
    <row r="30" ht="15.75" customHeight="1"/>
    <row r="31" ht="15.75" customHeight="1">
      <c r="A31" s="10"/>
      <c r="B31" s="10"/>
      <c r="C31" s="10"/>
      <c r="D31" s="10"/>
      <c r="E31" s="10"/>
      <c r="F31" s="10"/>
    </row>
    <row r="32" ht="15.75" customHeight="1">
      <c r="A32" s="86" t="s">
        <v>131</v>
      </c>
      <c r="B32" s="87"/>
      <c r="C32" s="88"/>
      <c r="D32" s="10"/>
      <c r="E32" s="10"/>
      <c r="F32" s="10"/>
    </row>
    <row r="33" ht="15.75" customHeight="1">
      <c r="A33" s="86"/>
      <c r="B33" s="87"/>
      <c r="C33" s="10"/>
      <c r="D33" s="10"/>
      <c r="E33" s="10"/>
      <c r="F33" s="10"/>
    </row>
    <row r="34" ht="15.75" customHeight="1">
      <c r="A34" s="89" t="s">
        <v>132</v>
      </c>
      <c r="B34" s="90">
        <v>0.4</v>
      </c>
      <c r="C34" s="10"/>
      <c r="D34" s="10"/>
      <c r="E34" s="10"/>
      <c r="F34" s="10"/>
      <c r="G34" s="54"/>
      <c r="H34" s="54"/>
    </row>
    <row r="35" ht="15.75" customHeight="1">
      <c r="A35" s="91" t="s">
        <v>133</v>
      </c>
      <c r="B35" s="92">
        <v>0.4</v>
      </c>
      <c r="C35" s="10"/>
      <c r="D35" s="10"/>
      <c r="E35" s="10"/>
      <c r="F35" s="10"/>
      <c r="G35" s="54"/>
      <c r="H35" s="54"/>
    </row>
    <row r="36" ht="15.75" customHeight="1">
      <c r="A36" s="91" t="s">
        <v>134</v>
      </c>
      <c r="B36" s="90">
        <v>0.1</v>
      </c>
      <c r="C36" s="10"/>
      <c r="D36" s="10"/>
      <c r="E36" s="10"/>
      <c r="F36" s="10"/>
      <c r="G36" s="93"/>
      <c r="H36" s="54"/>
    </row>
    <row r="37" ht="15.75" customHeight="1">
      <c r="A37" s="91" t="s">
        <v>59</v>
      </c>
      <c r="B37" s="90">
        <v>0.0</v>
      </c>
      <c r="C37" s="10"/>
      <c r="D37" s="10"/>
      <c r="E37" s="10"/>
      <c r="F37" s="10"/>
      <c r="G37" s="94"/>
      <c r="H37" s="84"/>
    </row>
    <row r="38" ht="15.75" customHeight="1">
      <c r="A38" s="91" t="s">
        <v>0</v>
      </c>
      <c r="B38" s="90">
        <v>0.1</v>
      </c>
      <c r="C38" s="10"/>
      <c r="D38" s="10"/>
      <c r="E38" s="10"/>
      <c r="F38" s="10"/>
      <c r="G38" s="54"/>
      <c r="H38" s="54"/>
    </row>
    <row r="39" ht="15.75" customHeight="1">
      <c r="A39" s="91" t="s">
        <v>24</v>
      </c>
      <c r="B39" s="90">
        <v>0.0</v>
      </c>
      <c r="C39" s="10"/>
      <c r="D39" s="10"/>
      <c r="E39" s="10"/>
      <c r="F39" s="10"/>
      <c r="G39" s="54"/>
      <c r="H39" s="54"/>
    </row>
    <row r="40" ht="15.75" customHeight="1">
      <c r="A40" s="95" t="s">
        <v>122</v>
      </c>
      <c r="B40" s="96">
        <f>sum(B34:B39)</f>
        <v>1</v>
      </c>
      <c r="C40" s="10"/>
      <c r="D40" s="10"/>
      <c r="E40" s="10"/>
      <c r="F40" s="10"/>
      <c r="G40" s="54"/>
      <c r="H40" s="54"/>
    </row>
    <row r="41" ht="15.75" customHeight="1">
      <c r="A41" s="86"/>
      <c r="B41" s="87"/>
      <c r="C41" s="10"/>
      <c r="D41" s="10"/>
      <c r="E41" s="10"/>
      <c r="F41" s="10"/>
      <c r="G41" s="34"/>
    </row>
    <row r="42" ht="15.75" customHeight="1">
      <c r="A42" s="86"/>
      <c r="B42" s="87"/>
      <c r="C42" s="10"/>
      <c r="D42" s="10"/>
      <c r="E42" s="10"/>
      <c r="F42" s="10"/>
      <c r="G42" s="34"/>
    </row>
    <row r="43" ht="15.75" customHeight="1">
      <c r="A43" s="86"/>
      <c r="B43" s="87"/>
      <c r="C43" s="10"/>
      <c r="D43" s="10"/>
      <c r="E43" s="10"/>
      <c r="F43" s="10"/>
      <c r="G43" s="34"/>
    </row>
    <row r="44" ht="15.75" customHeight="1">
      <c r="A44" s="86"/>
      <c r="B44" s="87"/>
      <c r="C44" s="10"/>
      <c r="D44" s="10"/>
      <c r="E44" s="10"/>
      <c r="F44" s="10"/>
      <c r="G44" s="34"/>
    </row>
    <row r="45" ht="15.75" customHeight="1">
      <c r="A45" s="86" t="s">
        <v>135</v>
      </c>
      <c r="B45" s="87"/>
      <c r="C45" s="10"/>
      <c r="D45" s="10"/>
      <c r="E45" s="10"/>
      <c r="F45" s="10"/>
      <c r="G45" s="34"/>
    </row>
    <row r="46" ht="15.75" customHeight="1">
      <c r="A46" s="86"/>
      <c r="B46" s="87"/>
      <c r="C46" s="10"/>
      <c r="D46" s="10"/>
      <c r="E46" s="10"/>
      <c r="F46" s="10"/>
      <c r="G46" s="34"/>
    </row>
    <row r="47" ht="15.75" customHeight="1">
      <c r="A47" s="97" t="s">
        <v>136</v>
      </c>
      <c r="B47" s="98">
        <v>0.5</v>
      </c>
      <c r="C47" s="10"/>
      <c r="D47" s="10"/>
      <c r="E47" s="10"/>
      <c r="F47" s="10"/>
      <c r="G47" s="34"/>
    </row>
    <row r="48" ht="15.75" customHeight="1">
      <c r="A48" s="91" t="s">
        <v>65</v>
      </c>
      <c r="B48" s="92">
        <v>0.25</v>
      </c>
      <c r="C48" s="10"/>
      <c r="D48" s="10"/>
      <c r="E48" s="10"/>
      <c r="F48" s="10"/>
      <c r="G48" s="34"/>
    </row>
    <row r="49" ht="15.75" customHeight="1">
      <c r="A49" s="91" t="s">
        <v>137</v>
      </c>
      <c r="B49" s="99">
        <v>0.05</v>
      </c>
      <c r="C49" s="10"/>
      <c r="D49" s="10"/>
      <c r="E49" s="10"/>
      <c r="F49" s="10"/>
      <c r="G49" s="34"/>
    </row>
    <row r="50" ht="15.75" customHeight="1">
      <c r="A50" s="91" t="s">
        <v>59</v>
      </c>
      <c r="B50" s="99">
        <v>0.05</v>
      </c>
      <c r="C50" s="10"/>
      <c r="D50" s="10"/>
      <c r="E50" s="10"/>
      <c r="F50" s="10"/>
      <c r="G50" s="34"/>
    </row>
    <row r="51" ht="15.75" customHeight="1">
      <c r="A51" s="91" t="s">
        <v>0</v>
      </c>
      <c r="B51" s="90">
        <v>0.1</v>
      </c>
      <c r="C51" s="10"/>
      <c r="D51" s="10"/>
      <c r="E51" s="10"/>
      <c r="F51" s="10"/>
      <c r="G51" s="34"/>
    </row>
    <row r="52" ht="15.75" customHeight="1">
      <c r="A52" s="91" t="s">
        <v>24</v>
      </c>
      <c r="B52" s="90">
        <v>0.05</v>
      </c>
      <c r="C52" s="10"/>
      <c r="D52" s="10"/>
      <c r="E52" s="10"/>
      <c r="F52" s="10"/>
      <c r="G52" s="34"/>
    </row>
    <row r="53" ht="15.75" customHeight="1">
      <c r="A53" s="95" t="s">
        <v>122</v>
      </c>
      <c r="B53" s="96">
        <f>sum(B47:B52)</f>
        <v>1</v>
      </c>
      <c r="C53" s="100"/>
      <c r="D53" s="10"/>
      <c r="E53" s="10"/>
      <c r="F53" s="10"/>
      <c r="G53" s="34"/>
    </row>
    <row r="54" ht="15.75" customHeight="1">
      <c r="A54" s="10"/>
      <c r="B54" s="88"/>
      <c r="C54" s="101"/>
      <c r="D54" s="10"/>
      <c r="E54" s="10"/>
      <c r="F54" s="10"/>
      <c r="G54" s="34"/>
    </row>
    <row r="55" ht="15.75" customHeight="1">
      <c r="A55" s="10"/>
      <c r="B55" s="88"/>
      <c r="C55" s="101"/>
      <c r="D55" s="10"/>
      <c r="E55" s="10"/>
      <c r="F55" s="10"/>
      <c r="G55" s="34"/>
    </row>
    <row r="56" ht="15.75" customHeight="1">
      <c r="A56" s="10"/>
      <c r="B56" s="88"/>
      <c r="C56" s="101"/>
      <c r="D56" s="10"/>
      <c r="E56" s="10"/>
      <c r="F56" s="10"/>
      <c r="G56" s="3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c r="G66" s="54"/>
      <c r="H66" s="54"/>
    </row>
    <row r="67" ht="15.75" customHeight="1">
      <c r="G67" s="54"/>
      <c r="H67" s="54"/>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c r="G80" s="54"/>
      <c r="H80" s="54"/>
    </row>
    <row r="81" ht="15.75" customHeight="1">
      <c r="G81" s="54"/>
      <c r="H81" s="54"/>
    </row>
    <row r="82" ht="15.75" customHeight="1">
      <c r="G82" s="54"/>
      <c r="H82" s="54"/>
    </row>
    <row r="83" ht="15.75" customHeight="1">
      <c r="G83" s="54"/>
      <c r="H83" s="54"/>
    </row>
    <row r="84" ht="15.75" customHeight="1">
      <c r="G84" s="54"/>
      <c r="H84" s="54"/>
    </row>
    <row r="85" ht="15.75" customHeight="1">
      <c r="G85" s="54"/>
      <c r="H85" s="54"/>
    </row>
    <row r="86" ht="15.75" customHeight="1">
      <c r="G86" s="54"/>
      <c r="H86" s="54"/>
    </row>
    <row r="87" ht="15.75" customHeight="1">
      <c r="G87" s="54"/>
      <c r="H87" s="54"/>
    </row>
    <row r="88" ht="15.75" customHeight="1">
      <c r="G88" s="54"/>
      <c r="H88" s="54"/>
    </row>
    <row r="89" ht="15.75" customHeight="1">
      <c r="G89" s="54"/>
      <c r="H89" s="54"/>
    </row>
    <row r="90" ht="15.75" customHeight="1">
      <c r="G90" s="54"/>
      <c r="H90" s="54"/>
    </row>
    <row r="91" ht="15.75" customHeight="1">
      <c r="G91" s="54"/>
      <c r="H91" s="54"/>
    </row>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25"/>
    <col customWidth="1" min="2" max="2" width="87.5"/>
  </cols>
  <sheetData>
    <row r="1">
      <c r="A1" s="39" t="s">
        <v>138</v>
      </c>
      <c r="B1" s="102" t="s">
        <v>139</v>
      </c>
    </row>
    <row r="2">
      <c r="A2" s="40" t="s">
        <v>140</v>
      </c>
      <c r="B2" s="40" t="s">
        <v>141</v>
      </c>
    </row>
    <row r="3">
      <c r="A3" s="40" t="s">
        <v>71</v>
      </c>
      <c r="B3" s="40" t="s">
        <v>142</v>
      </c>
    </row>
    <row r="4">
      <c r="A4" s="40" t="s">
        <v>143</v>
      </c>
      <c r="B4" s="40" t="s">
        <v>144</v>
      </c>
    </row>
    <row r="5">
      <c r="A5" s="40" t="s">
        <v>145</v>
      </c>
      <c r="B5" s="40" t="s">
        <v>146</v>
      </c>
    </row>
    <row r="6">
      <c r="A6" s="40" t="s">
        <v>147</v>
      </c>
      <c r="B6" s="40" t="s">
        <v>148</v>
      </c>
    </row>
    <row r="7">
      <c r="A7" s="40" t="s">
        <v>149</v>
      </c>
      <c r="B7" s="40" t="s">
        <v>150</v>
      </c>
    </row>
    <row r="8">
      <c r="A8" s="40" t="s">
        <v>151</v>
      </c>
      <c r="B8" s="40" t="s">
        <v>152</v>
      </c>
    </row>
    <row r="9">
      <c r="A9" s="40" t="s">
        <v>153</v>
      </c>
      <c r="B9" s="40" t="s">
        <v>154</v>
      </c>
    </row>
    <row r="10">
      <c r="A10" s="40" t="s">
        <v>155</v>
      </c>
      <c r="B10" s="40" t="s">
        <v>156</v>
      </c>
    </row>
    <row r="11">
      <c r="A11" s="40" t="s">
        <v>59</v>
      </c>
      <c r="B11" s="40" t="s">
        <v>157</v>
      </c>
    </row>
    <row r="12">
      <c r="A12" s="40" t="s">
        <v>158</v>
      </c>
      <c r="B12" s="40" t="s">
        <v>159</v>
      </c>
    </row>
    <row r="13">
      <c r="A13" s="40" t="s">
        <v>56</v>
      </c>
      <c r="B13" s="103" t="s">
        <v>160</v>
      </c>
    </row>
    <row r="14">
      <c r="A14" s="40" t="s">
        <v>24</v>
      </c>
      <c r="B14" s="40" t="s">
        <v>161</v>
      </c>
    </row>
    <row r="15">
      <c r="A15" s="40" t="s">
        <v>162</v>
      </c>
      <c r="B15" s="40" t="s">
        <v>163</v>
      </c>
    </row>
    <row r="16">
      <c r="A16" s="40"/>
    </row>
    <row r="17">
      <c r="A17" s="39" t="s">
        <v>164</v>
      </c>
      <c r="B17" s="102" t="s">
        <v>165</v>
      </c>
    </row>
    <row r="18">
      <c r="A18" s="40" t="s">
        <v>166</v>
      </c>
      <c r="B18" s="104">
        <v>0.9</v>
      </c>
    </row>
    <row r="19">
      <c r="A19" s="40" t="s">
        <v>167</v>
      </c>
      <c r="B19" s="105">
        <v>0.5</v>
      </c>
    </row>
    <row r="20">
      <c r="A20" s="40" t="s">
        <v>168</v>
      </c>
      <c r="B20" s="106">
        <v>0.3</v>
      </c>
    </row>
    <row r="21">
      <c r="A21" s="40" t="s">
        <v>169</v>
      </c>
      <c r="B21" s="106">
        <v>0.35</v>
      </c>
    </row>
    <row r="22">
      <c r="A22" s="40" t="s">
        <v>170</v>
      </c>
      <c r="B22" s="107">
        <v>0.65</v>
      </c>
    </row>
    <row r="23">
      <c r="B23" s="10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7.5"/>
    <col customWidth="1" min="2" max="2" width="9.25"/>
    <col customWidth="1" min="3" max="3" width="9.5"/>
    <col customWidth="1" min="4" max="4" width="10.25"/>
    <col customWidth="1" min="5" max="5" width="8.5"/>
    <col customWidth="1" min="6" max="6" width="8.88"/>
    <col customWidth="1" min="7" max="7" width="10.75"/>
    <col customWidth="1" min="8" max="8" width="8.25"/>
    <col customWidth="1" min="9" max="9" width="7.38"/>
    <col customWidth="1" min="10" max="11" width="8.75"/>
    <col customWidth="1" min="12" max="12" width="10.0"/>
    <col customWidth="1" min="13" max="13" width="15.88"/>
    <col customWidth="1" min="14" max="14" width="19.38"/>
    <col customWidth="1" min="15" max="15" width="66.5"/>
  </cols>
  <sheetData>
    <row r="1">
      <c r="A1" s="109" t="s">
        <v>171</v>
      </c>
      <c r="B1" s="110"/>
      <c r="C1" s="110"/>
      <c r="D1" s="110"/>
      <c r="E1" s="111"/>
      <c r="F1" s="111"/>
      <c r="G1" s="110"/>
      <c r="H1" s="110"/>
      <c r="I1" s="110"/>
      <c r="N1" s="112"/>
    </row>
    <row r="2" ht="18.0" customHeight="1">
      <c r="A2" s="41" t="s">
        <v>172</v>
      </c>
      <c r="B2" s="113"/>
      <c r="C2" s="113"/>
      <c r="D2" s="113"/>
      <c r="E2" s="114"/>
      <c r="F2" s="114"/>
      <c r="G2" s="113"/>
      <c r="H2" s="113"/>
      <c r="I2" s="113"/>
      <c r="J2" s="113"/>
      <c r="K2" s="115" t="s">
        <v>173</v>
      </c>
      <c r="L2" s="113"/>
      <c r="M2" s="113"/>
      <c r="N2" s="114"/>
      <c r="O2" s="113"/>
      <c r="P2" s="113"/>
      <c r="Q2" s="113"/>
      <c r="R2" s="113"/>
      <c r="S2" s="113"/>
      <c r="T2" s="113"/>
      <c r="U2" s="113"/>
      <c r="V2" s="113"/>
      <c r="W2" s="113"/>
      <c r="X2" s="113"/>
      <c r="Y2" s="113"/>
      <c r="Z2" s="113"/>
      <c r="AA2" s="113"/>
      <c r="AB2" s="113"/>
      <c r="AC2" s="113"/>
      <c r="AD2" s="113"/>
      <c r="AE2" s="113"/>
      <c r="AF2" s="113"/>
      <c r="AG2" s="113"/>
      <c r="AH2" s="113"/>
      <c r="AI2" s="113"/>
    </row>
    <row r="3">
      <c r="A3" s="40" t="s">
        <v>174</v>
      </c>
      <c r="E3" s="112"/>
      <c r="F3" s="112"/>
      <c r="N3" s="112"/>
    </row>
    <row r="4">
      <c r="A4" s="40" t="s">
        <v>175</v>
      </c>
      <c r="E4" s="116"/>
      <c r="F4" s="116"/>
      <c r="H4" s="40"/>
      <c r="I4" s="40"/>
      <c r="K4" s="40"/>
      <c r="L4" s="40"/>
      <c r="M4" s="117"/>
    </row>
    <row r="5">
      <c r="A5" s="118" t="s">
        <v>176</v>
      </c>
      <c r="B5" s="119"/>
      <c r="C5" s="119"/>
      <c r="D5" s="119"/>
      <c r="E5" s="120"/>
      <c r="F5" s="120"/>
      <c r="G5" s="119"/>
      <c r="H5" s="120"/>
      <c r="I5" s="120"/>
      <c r="J5" s="119"/>
      <c r="K5" s="120"/>
      <c r="L5" s="120"/>
      <c r="M5" s="118"/>
      <c r="N5" s="119"/>
    </row>
    <row r="6">
      <c r="A6" s="121" t="s">
        <v>177</v>
      </c>
      <c r="B6" s="122"/>
      <c r="C6" s="122"/>
      <c r="D6" s="122"/>
      <c r="E6" s="123"/>
      <c r="F6" s="123"/>
      <c r="G6" s="122"/>
      <c r="H6" s="124"/>
      <c r="I6" s="124"/>
      <c r="J6" s="124"/>
      <c r="K6" s="124"/>
      <c r="N6" s="112"/>
    </row>
    <row r="7">
      <c r="E7" s="112"/>
      <c r="F7" s="112"/>
      <c r="N7" s="112"/>
    </row>
    <row r="8">
      <c r="A8" s="125" t="s">
        <v>178</v>
      </c>
      <c r="B8" s="125" t="s">
        <v>179</v>
      </c>
      <c r="C8" s="102" t="s">
        <v>180</v>
      </c>
      <c r="D8" s="126" t="s">
        <v>181</v>
      </c>
      <c r="E8" s="127" t="s">
        <v>182</v>
      </c>
      <c r="F8" s="127" t="s">
        <v>183</v>
      </c>
      <c r="G8" s="126" t="s">
        <v>184</v>
      </c>
      <c r="H8" s="102" t="s">
        <v>185</v>
      </c>
      <c r="I8" s="126" t="s">
        <v>186</v>
      </c>
      <c r="J8" s="128" t="s">
        <v>187</v>
      </c>
      <c r="K8" s="126" t="s">
        <v>188</v>
      </c>
      <c r="L8" s="129" t="s">
        <v>189</v>
      </c>
      <c r="M8" s="102" t="s">
        <v>190</v>
      </c>
      <c r="N8" s="125" t="s">
        <v>191</v>
      </c>
      <c r="O8" s="39" t="s">
        <v>192</v>
      </c>
    </row>
    <row r="9">
      <c r="A9" s="130" t="s">
        <v>193</v>
      </c>
      <c r="B9" s="130" t="s">
        <v>194</v>
      </c>
      <c r="C9" s="131">
        <f>IFERROR(__xludf.DUMMYFUNCTION("GOOGLEFINANCE(B9,""price"")"),87.25)</f>
        <v>87.25</v>
      </c>
      <c r="D9" s="132">
        <v>135.0</v>
      </c>
      <c r="E9" s="133">
        <f>IFERROR(__xludf.DUMMYFUNCTION("GOOGLEFINANCE(B9,""low52"")"),59.43)</f>
        <v>59.43</v>
      </c>
      <c r="F9" s="133">
        <f>IFERROR(__xludf.DUMMYFUNCTION("GOOGLEFINANCE(B9,""high52"")"),109.76)</f>
        <v>109.76</v>
      </c>
      <c r="G9" s="134">
        <v>0.0197</v>
      </c>
      <c r="H9" s="135">
        <f>IFERROR(__xludf.DUMMYFUNCTION("GOOGLEFINANCE(B9,""pe"")"),13.73)</f>
        <v>13.73</v>
      </c>
      <c r="I9" s="136">
        <v>0.65</v>
      </c>
      <c r="J9" s="137">
        <f>IFERROR(__xludf.DUMMYFUNCTION("GOOGLEFINANCE(B9,""eps"")"),6.36)</f>
        <v>6.36</v>
      </c>
      <c r="K9" s="138">
        <v>1.1</v>
      </c>
      <c r="L9" s="139">
        <f>IFERROR(__xludf.DUMMYFUNCTION("GOOGLEFINANCE(B9,""changepct"")"),-1.86)</f>
        <v>-1.86</v>
      </c>
      <c r="M9" s="140" t="s">
        <v>195</v>
      </c>
      <c r="N9" s="130" t="s">
        <v>196</v>
      </c>
      <c r="O9" s="108"/>
      <c r="P9" s="108"/>
    </row>
    <row r="10">
      <c r="A10" s="130" t="s">
        <v>197</v>
      </c>
      <c r="B10" s="130" t="s">
        <v>198</v>
      </c>
      <c r="C10" s="131">
        <f>IFERROR(__xludf.DUMMYFUNCTION("GOOGLEFINANCE(B10,""price"")"),179.51)</f>
        <v>179.51</v>
      </c>
      <c r="D10" s="132">
        <v>375.0</v>
      </c>
      <c r="E10" s="133">
        <f>IFERROR(__xludf.DUMMYFUNCTION("GOOGLEFINANCE(B10,""low52"")"),88.09)</f>
        <v>88.09</v>
      </c>
      <c r="F10" s="133">
        <f>IFERROR(__xludf.DUMMYFUNCTION("GOOGLEFINANCE(B10,""high52"")"),236.86)</f>
        <v>236.86</v>
      </c>
      <c r="G10" s="141" t="s">
        <v>199</v>
      </c>
      <c r="H10" s="142">
        <f>IFERROR(__xludf.DUMMYFUNCTION("GOOGLEFINANCE(B10,""pe"")"),22.36)</f>
        <v>22.36</v>
      </c>
      <c r="I10" s="143">
        <v>6.1</v>
      </c>
      <c r="J10" s="144">
        <f>IFERROR(__xludf.DUMMYFUNCTION("GOOGLEFINANCE(B10,""eps"")"),8.03)</f>
        <v>8.03</v>
      </c>
      <c r="K10" s="138">
        <v>1.2</v>
      </c>
      <c r="L10" s="139">
        <f>IFERROR(__xludf.DUMMYFUNCTION("GOOGLEFINANCE(B10,""changepct"")"),-1.2)</f>
        <v>-1.2</v>
      </c>
      <c r="M10" s="140" t="s">
        <v>195</v>
      </c>
      <c r="N10" s="145" t="s">
        <v>200</v>
      </c>
      <c r="O10" s="146" t="s">
        <v>201</v>
      </c>
      <c r="P10" s="108"/>
    </row>
    <row r="11">
      <c r="A11" s="130" t="s">
        <v>202</v>
      </c>
      <c r="B11" s="130" t="s">
        <v>203</v>
      </c>
      <c r="C11" s="131">
        <f>IFERROR(__xludf.DUMMYFUNCTION("GOOGLEFINANCE(B11,""price"")"),173.44)</f>
        <v>173.44</v>
      </c>
      <c r="D11" s="132">
        <v>400.0</v>
      </c>
      <c r="E11" s="133">
        <f>IFERROR(__xludf.DUMMYFUNCTION("GOOGLEFINANCE(B11,""low52"")"),101.81)</f>
        <v>101.81</v>
      </c>
      <c r="F11" s="133">
        <f>IFERROR(__xludf.DUMMYFUNCTION("GOOGLEFINANCE(B11,""high52"")"),384.29)</f>
        <v>384.29</v>
      </c>
      <c r="G11" s="141" t="s">
        <v>199</v>
      </c>
      <c r="H11" s="147">
        <f>IFERROR(__xludf.DUMMYFUNCTION("GOOGLEFINANCE(B11,""pe"")"),47.89)</f>
        <v>47.89</v>
      </c>
      <c r="I11" s="148">
        <v>2.94</v>
      </c>
      <c r="J11" s="137">
        <f>IFERROR(__xludf.DUMMYFUNCTION("GOOGLEFINANCE(B11,""eps"")"),3.62)</f>
        <v>3.62</v>
      </c>
      <c r="K11" s="149">
        <v>2.09</v>
      </c>
      <c r="L11" s="139">
        <f>IFERROR(__xludf.DUMMYFUNCTION("GOOGLEFINANCE(B11,""changepct"")"),0.3)</f>
        <v>0.3</v>
      </c>
      <c r="M11" s="140" t="s">
        <v>195</v>
      </c>
      <c r="N11" s="145" t="s">
        <v>204</v>
      </c>
      <c r="O11" s="146" t="s">
        <v>205</v>
      </c>
      <c r="P11" s="108"/>
    </row>
    <row r="12">
      <c r="A12" s="130" t="s">
        <v>206</v>
      </c>
      <c r="B12" s="130" t="s">
        <v>207</v>
      </c>
      <c r="C12" s="131">
        <f>IFERROR(__xludf.DUMMYFUNCTION("GOOGLEFINANCE(B12,""price"")"),16.68)</f>
        <v>16.68</v>
      </c>
      <c r="D12" s="132">
        <v>27.0</v>
      </c>
      <c r="E12" s="133">
        <f>IFERROR(__xludf.DUMMYFUNCTION("GOOGLEFINANCE(B12,""low52"")"),14.87)</f>
        <v>14.87</v>
      </c>
      <c r="F12" s="133">
        <f>IFERROR(__xludf.DUMMYFUNCTION("GOOGLEFINANCE(B12,""high52"")"),23.4)</f>
        <v>23.4</v>
      </c>
      <c r="G12" s="141" t="s">
        <v>199</v>
      </c>
      <c r="H12" s="150">
        <f>IFERROR(__xludf.DUMMYFUNCTION("GOOGLEFINANCE(B12,""pe"")"),29.7)</f>
        <v>29.7</v>
      </c>
      <c r="I12" s="151">
        <v>0.66</v>
      </c>
      <c r="J12" s="137">
        <f>IFERROR(__xludf.DUMMYFUNCTION("GOOGLEFINANCE(B12,""eps"")"),0.56)</f>
        <v>0.56</v>
      </c>
      <c r="K12" s="136">
        <v>0.69</v>
      </c>
      <c r="L12" s="139">
        <f>IFERROR(__xludf.DUMMYFUNCTION("GOOGLEFINANCE(B12,""changepct"")"),0.06)</f>
        <v>0.06</v>
      </c>
      <c r="M12" s="140" t="s">
        <v>195</v>
      </c>
      <c r="N12" s="130" t="s">
        <v>208</v>
      </c>
      <c r="O12" s="108"/>
      <c r="P12" s="108"/>
    </row>
    <row r="13">
      <c r="A13" s="40" t="s">
        <v>209</v>
      </c>
      <c r="B13" s="40" t="s">
        <v>210</v>
      </c>
      <c r="C13" s="131">
        <f>IFERROR(__xludf.DUMMYFUNCTION("GOOGLEFINANCE(B13,""price"")"),91.01)</f>
        <v>91.01</v>
      </c>
      <c r="D13" s="132">
        <v>145.0</v>
      </c>
      <c r="E13" s="133">
        <f>IFERROR(__xludf.DUMMYFUNCTION("GOOGLEFINANCE(B13,""low52"")"),83.45)</f>
        <v>83.45</v>
      </c>
      <c r="F13" s="133">
        <f>IFERROR(__xludf.DUMMYFUNCTION("GOOGLEFINANCE(B13,""high52"")"),144.16)</f>
        <v>144.16</v>
      </c>
      <c r="G13" s="141" t="s">
        <v>199</v>
      </c>
      <c r="H13" s="152">
        <f>IFERROR(__xludf.DUMMYFUNCTION("GOOGLEFINANCE(B13,""pe"")"),19.97)</f>
        <v>19.97</v>
      </c>
      <c r="I13" s="153">
        <v>1.34</v>
      </c>
      <c r="J13" s="137">
        <f>IFERROR(__xludf.DUMMYFUNCTION("GOOGLEFINANCE(B13,""eps"")"),4.56)</f>
        <v>4.56</v>
      </c>
      <c r="K13" s="22" t="s">
        <v>199</v>
      </c>
      <c r="L13" s="139">
        <f>IFERROR(__xludf.DUMMYFUNCTION("GOOGLEFINANCE(B13,""changepct"")"),-1.78)</f>
        <v>-1.78</v>
      </c>
      <c r="M13" s="140" t="s">
        <v>195</v>
      </c>
      <c r="N13" s="130" t="s">
        <v>200</v>
      </c>
    </row>
    <row r="14">
      <c r="A14" s="154" t="s">
        <v>211</v>
      </c>
      <c r="B14" s="130" t="s">
        <v>212</v>
      </c>
      <c r="C14" s="131">
        <f>IFERROR(__xludf.DUMMYFUNCTION("GOOGLEFINANCE(B14,""price"")"),90.73)</f>
        <v>90.73</v>
      </c>
      <c r="D14" s="132">
        <v>200.0</v>
      </c>
      <c r="E14" s="133">
        <f>IFERROR(__xludf.DUMMYFUNCTION("GOOGLEFINANCE(B14,""low52"")"),81.43)</f>
        <v>81.43</v>
      </c>
      <c r="F14" s="133">
        <f>IFERROR(__xludf.DUMMYFUNCTION("GOOGLEFINANCE(B14,""high52"")"),170.83)</f>
        <v>170.83</v>
      </c>
      <c r="G14" s="141" t="s">
        <v>199</v>
      </c>
      <c r="H14" s="155" t="str">
        <f>IFERROR(__xludf.DUMMYFUNCTION("GOOGLEFINANCE(B14,""pe"")"),"#N/A")</f>
        <v>#N/A</v>
      </c>
      <c r="I14" s="156">
        <v>3.7</v>
      </c>
      <c r="J14" s="157">
        <f>IFERROR(__xludf.DUMMYFUNCTION("GOOGLEFINANCE(B14,""eps"")"),-0.27)</f>
        <v>-0.27</v>
      </c>
      <c r="K14" s="138">
        <v>1.25</v>
      </c>
      <c r="L14" s="139">
        <f>IFERROR(__xludf.DUMMYFUNCTION("GOOGLEFINANCE(B14,""changepct"")"),-1.65)</f>
        <v>-1.65</v>
      </c>
      <c r="M14" s="140" t="s">
        <v>195</v>
      </c>
      <c r="N14" s="145" t="s">
        <v>204</v>
      </c>
      <c r="O14" s="145" t="s">
        <v>213</v>
      </c>
      <c r="P14" s="108"/>
    </row>
    <row r="15">
      <c r="A15" s="40" t="s">
        <v>214</v>
      </c>
      <c r="B15" s="40" t="s">
        <v>215</v>
      </c>
      <c r="C15" s="131">
        <f>IFERROR(__xludf.DUMMYFUNCTION("GOOGLEFINANCE(B15,""price"")"),329.3)</f>
        <v>329.3</v>
      </c>
      <c r="D15" s="132">
        <v>655.0</v>
      </c>
      <c r="E15" s="133">
        <f>IFERROR(__xludf.DUMMYFUNCTION("GOOGLEFINANCE(B15,""low52"")"),274.73)</f>
        <v>274.73</v>
      </c>
      <c r="F15" s="133">
        <f>IFERROR(__xludf.DUMMYFUNCTION("GOOGLEFINANCE(B15,""high52"")"),473.49)</f>
        <v>473.49</v>
      </c>
      <c r="G15" s="141" t="s">
        <v>199</v>
      </c>
      <c r="H15" s="147">
        <f>IFERROR(__xludf.DUMMYFUNCTION("GOOGLEFINANCE(B15,""pe"")"),32.61)</f>
        <v>32.61</v>
      </c>
      <c r="I15" s="141">
        <v>2.51</v>
      </c>
      <c r="J15" s="144">
        <f>IFERROR(__xludf.DUMMYFUNCTION("GOOGLEFINANCE(B15,""eps"")"),10.1)</f>
        <v>10.1</v>
      </c>
      <c r="K15" s="158">
        <v>1.26</v>
      </c>
      <c r="L15" s="139">
        <f>IFERROR(__xludf.DUMMYFUNCTION("GOOGLEFINANCE(B15,""changepct"")"),-2.68)</f>
        <v>-2.68</v>
      </c>
      <c r="M15" s="140" t="s">
        <v>195</v>
      </c>
      <c r="N15" s="130" t="s">
        <v>196</v>
      </c>
    </row>
    <row r="16">
      <c r="A16" s="130" t="s">
        <v>216</v>
      </c>
      <c r="B16" s="130" t="s">
        <v>217</v>
      </c>
      <c r="C16" s="131">
        <f>IFERROR(__xludf.DUMMYFUNCTION("GOOGLEFINANCE(B16,""price"")"),25.82)</f>
        <v>25.82</v>
      </c>
      <c r="D16" s="132">
        <v>45.0</v>
      </c>
      <c r="E16" s="133">
        <f>IFERROR(__xludf.DUMMYFUNCTION("GOOGLEFINANCE(B16,""low52"")"),22.34)</f>
        <v>22.34</v>
      </c>
      <c r="F16" s="133">
        <f>IFERROR(__xludf.DUMMYFUNCTION("GOOGLEFINANCE(B16,""high52"")"),45.65)</f>
        <v>45.65</v>
      </c>
      <c r="G16" s="134">
        <v>0.0393</v>
      </c>
      <c r="H16" s="142">
        <f>IFERROR(__xludf.DUMMYFUNCTION("GOOGLEFINANCE(B16,""pe"")"),5.13)</f>
        <v>5.13</v>
      </c>
      <c r="I16" s="141" t="s">
        <v>199</v>
      </c>
      <c r="J16" s="159">
        <f>IFERROR(__xludf.DUMMYFUNCTION("GOOGLEFINANCE(B16,""eps"")"),5.04)</f>
        <v>5.04</v>
      </c>
      <c r="K16" s="158">
        <v>1.35</v>
      </c>
      <c r="L16" s="139">
        <f>IFERROR(__xludf.DUMMYFUNCTION("GOOGLEFINANCE(B16,""changepct"")"),-5.7)</f>
        <v>-5.7</v>
      </c>
      <c r="M16" s="140" t="s">
        <v>195</v>
      </c>
      <c r="N16" s="130" t="s">
        <v>218</v>
      </c>
      <c r="O16" s="108"/>
      <c r="P16" s="108"/>
    </row>
    <row r="17">
      <c r="A17" s="130" t="s">
        <v>219</v>
      </c>
      <c r="B17" s="130" t="s">
        <v>220</v>
      </c>
      <c r="C17" s="131">
        <f>IFERROR(__xludf.DUMMYFUNCTION("GOOGLEFINANCE(B17,""price"")"),73.43)</f>
        <v>73.43</v>
      </c>
      <c r="D17" s="132">
        <v>230.0</v>
      </c>
      <c r="E17" s="133">
        <f>IFERROR(__xludf.DUMMYFUNCTION("GOOGLEFINANCE(B17,""low52"")"),66.39)</f>
        <v>66.39</v>
      </c>
      <c r="F17" s="133">
        <f>IFERROR(__xludf.DUMMYFUNCTION("GOOGLEFINANCE(B17,""high52"")"),122.92)</f>
        <v>122.92</v>
      </c>
      <c r="G17" s="141" t="s">
        <v>199</v>
      </c>
      <c r="H17" s="147">
        <f>IFERROR(__xludf.DUMMYFUNCTION("GOOGLEFINANCE(B17,""pe"")"),35.15)</f>
        <v>35.15</v>
      </c>
      <c r="I17" s="141">
        <v>2.46</v>
      </c>
      <c r="J17" s="137">
        <f>IFERROR(__xludf.DUMMYFUNCTION("GOOGLEFINANCE(B17,""eps"")"),2.09)</f>
        <v>2.09</v>
      </c>
      <c r="K17" s="138">
        <v>1.3</v>
      </c>
      <c r="L17" s="139">
        <f>IFERROR(__xludf.DUMMYFUNCTION("GOOGLEFINANCE(B17,""changepct"")"),-3.29)</f>
        <v>-3.29</v>
      </c>
      <c r="M17" s="140" t="s">
        <v>195</v>
      </c>
      <c r="N17" s="130" t="s">
        <v>218</v>
      </c>
      <c r="O17" s="146" t="s">
        <v>221</v>
      </c>
      <c r="P17" s="108"/>
    </row>
    <row r="18">
      <c r="A18" s="130" t="s">
        <v>222</v>
      </c>
      <c r="B18" s="130" t="s">
        <v>223</v>
      </c>
      <c r="C18" s="131">
        <f>IFERROR(__xludf.DUMMYFUNCTION("GOOGLEFINANCE(B18,""price"")"),93.57)</f>
        <v>93.57</v>
      </c>
      <c r="D18" s="132">
        <v>155.0</v>
      </c>
      <c r="E18" s="133">
        <f>IFERROR(__xludf.DUMMYFUNCTION("GOOGLEFINANCE(B18,""low52"")"),84.07)</f>
        <v>84.07</v>
      </c>
      <c r="F18" s="133">
        <f>IFERROR(__xludf.DUMMYFUNCTION("GOOGLEFINANCE(B18,""high52"")"),144.46)</f>
        <v>144.46</v>
      </c>
      <c r="G18" s="141" t="s">
        <v>199</v>
      </c>
      <c r="H18" s="155">
        <f>IFERROR(__xludf.DUMMYFUNCTION("GOOGLEFINANCE(B18,""pe"")"),51.47)</f>
        <v>51.47</v>
      </c>
      <c r="I18" s="148">
        <v>2.7</v>
      </c>
      <c r="J18" s="137">
        <f>IFERROR(__xludf.DUMMYFUNCTION("GOOGLEFINANCE(B18,""eps"")"),1.82)</f>
        <v>1.82</v>
      </c>
      <c r="K18" s="158">
        <v>1.28</v>
      </c>
      <c r="L18" s="139">
        <f>IFERROR(__xludf.DUMMYFUNCTION("GOOGLEFINANCE(B18,""changepct"")"),-2.67)</f>
        <v>-2.67</v>
      </c>
      <c r="M18" s="140" t="s">
        <v>195</v>
      </c>
      <c r="N18" s="130" t="s">
        <v>200</v>
      </c>
      <c r="O18" s="108"/>
      <c r="P18" s="108"/>
    </row>
    <row r="19">
      <c r="A19" s="130" t="s">
        <v>224</v>
      </c>
      <c r="B19" s="130" t="s">
        <v>225</v>
      </c>
      <c r="C19" s="131">
        <f>IFERROR(__xludf.DUMMYFUNCTION("GOOGLEFINANCE(B19,""price"")"),158.07)</f>
        <v>158.07</v>
      </c>
      <c r="D19" s="132">
        <v>230.0</v>
      </c>
      <c r="E19" s="133">
        <f>IFERROR(__xludf.DUMMYFUNCTION("GOOGLEFINANCE(B19,""low52"")"),131.04)</f>
        <v>131.04</v>
      </c>
      <c r="F19" s="133">
        <f>IFERROR(__xludf.DUMMYFUNCTION("GOOGLEFINANCE(B19,""high52"")"),185.5)</f>
        <v>185.5</v>
      </c>
      <c r="G19" s="160">
        <v>0.013</v>
      </c>
      <c r="H19" s="147">
        <f>IFERROR(__xludf.DUMMYFUNCTION("GOOGLEFINANCE(B19,""pe"")"),41.5)</f>
        <v>41.5</v>
      </c>
      <c r="I19" s="149">
        <v>3.51</v>
      </c>
      <c r="J19" s="137">
        <f>IFERROR(__xludf.DUMMYFUNCTION("GOOGLEFINANCE(B19,""eps"")"),3.81)</f>
        <v>3.81</v>
      </c>
      <c r="K19" s="138">
        <v>0.99</v>
      </c>
      <c r="L19" s="139">
        <f>IFERROR(__xludf.DUMMYFUNCTION("GOOGLEFINANCE(B19,""changepct"")"),0.27)</f>
        <v>0.27</v>
      </c>
      <c r="M19" s="140" t="s">
        <v>195</v>
      </c>
      <c r="N19" s="130" t="s">
        <v>226</v>
      </c>
      <c r="O19" s="108"/>
      <c r="P19" s="108"/>
      <c r="Q19" s="108"/>
      <c r="R19" s="108"/>
      <c r="S19" s="108"/>
      <c r="T19" s="108"/>
      <c r="U19" s="108"/>
      <c r="V19" s="108"/>
      <c r="W19" s="108"/>
    </row>
    <row r="20">
      <c r="A20" s="161" t="s">
        <v>227</v>
      </c>
      <c r="B20" s="161" t="s">
        <v>228</v>
      </c>
      <c r="C20" s="131">
        <f>IFERROR(__xludf.DUMMYFUNCTION("GOOGLEFINANCE(B20,""price"")"),60.36)</f>
        <v>60.36</v>
      </c>
      <c r="D20" s="132">
        <v>75.0</v>
      </c>
      <c r="E20" s="133">
        <f>IFERROR(__xludf.DUMMYFUNCTION("GOOGLEFINANCE(B20,""low52"")"),44.9)</f>
        <v>44.9</v>
      </c>
      <c r="F20" s="133">
        <f>IFERROR(__xludf.DUMMYFUNCTION("GOOGLEFINANCE(B20,""high52"")"),62.75)</f>
        <v>62.75</v>
      </c>
      <c r="G20" s="162">
        <v>0.041</v>
      </c>
      <c r="H20" s="142">
        <f>IFERROR(__xludf.DUMMYFUNCTION("GOOGLEFINANCE(B20,""pe"")"),5.29)</f>
        <v>5.29</v>
      </c>
      <c r="I20" s="151">
        <v>1.82</v>
      </c>
      <c r="J20" s="144">
        <f>IFERROR(__xludf.DUMMYFUNCTION("GOOGLEFINANCE(B20,""eps"")"),11.42)</f>
        <v>11.42</v>
      </c>
      <c r="K20" s="136">
        <v>0.65</v>
      </c>
      <c r="L20" s="139">
        <f>IFERROR(__xludf.DUMMYFUNCTION("GOOGLEFINANCE(B20,""changepct"")"),-0.49)</f>
        <v>-0.49</v>
      </c>
      <c r="M20" s="158" t="s">
        <v>229</v>
      </c>
      <c r="N20" s="130" t="s">
        <v>230</v>
      </c>
      <c r="O20" s="163"/>
      <c r="P20" s="108"/>
    </row>
    <row r="21">
      <c r="A21" s="164" t="s">
        <v>231</v>
      </c>
      <c r="B21" s="164" t="s">
        <v>232</v>
      </c>
      <c r="C21" s="131">
        <f>IFERROR(__xludf.DUMMYFUNCTION("GOOGLEFINANCE(B21,""price"")"),56.98)</f>
        <v>56.98</v>
      </c>
      <c r="D21" s="132">
        <v>85.0</v>
      </c>
      <c r="E21" s="133">
        <f>IFERROR(__xludf.DUMMYFUNCTION("GOOGLEFINANCE(B21,""low52"")"),56.74)</f>
        <v>56.74</v>
      </c>
      <c r="F21" s="133">
        <f>IFERROR(__xludf.DUMMYFUNCTION("GOOGLEFINANCE(B21,""high52"")"),99.54)</f>
        <v>99.54</v>
      </c>
      <c r="G21" s="134">
        <v>0.0324</v>
      </c>
      <c r="H21" s="142">
        <f>IFERROR(__xludf.DUMMYFUNCTION("GOOGLEFINANCE(B21,""pe"")"),8.46)</f>
        <v>8.46</v>
      </c>
      <c r="I21" s="136">
        <v>1.17</v>
      </c>
      <c r="J21" s="144">
        <f>IFERROR(__xludf.DUMMYFUNCTION("GOOGLEFINANCE(B21,""eps"")"),6.73)</f>
        <v>6.73</v>
      </c>
      <c r="K21" s="151">
        <v>0.73</v>
      </c>
      <c r="L21" s="139">
        <f>IFERROR(__xludf.DUMMYFUNCTION("GOOGLEFINANCE(B21,""changepct"")"),-1.15)</f>
        <v>-1.15</v>
      </c>
      <c r="M21" s="158" t="s">
        <v>229</v>
      </c>
      <c r="N21" s="40" t="s">
        <v>233</v>
      </c>
    </row>
    <row r="22">
      <c r="A22" s="130" t="s">
        <v>234</v>
      </c>
      <c r="B22" s="130" t="s">
        <v>235</v>
      </c>
      <c r="C22" s="131">
        <f>IFERROR(__xludf.DUMMYFUNCTION("GOOGLEFINANCE(B22,""price"")"),27.22)</f>
        <v>27.22</v>
      </c>
      <c r="D22" s="132">
        <v>40.0</v>
      </c>
      <c r="E22" s="133">
        <f>IFERROR(__xludf.DUMMYFUNCTION("GOOGLEFINANCE(B22,""low52"")"),24.59)</f>
        <v>24.59</v>
      </c>
      <c r="F22" s="133">
        <f>IFERROR(__xludf.DUMMYFUNCTION("GOOGLEFINANCE(B22,""high52"")"),54.09)</f>
        <v>54.09</v>
      </c>
      <c r="G22" s="165">
        <v>0.0189</v>
      </c>
      <c r="H22" s="142">
        <f>IFERROR(__xludf.DUMMYFUNCTION("GOOGLEFINANCE(B22,""pe"")"),14.0)</f>
        <v>14</v>
      </c>
      <c r="I22" s="141" t="s">
        <v>199</v>
      </c>
      <c r="J22" s="137">
        <f>IFERROR(__xludf.DUMMYFUNCTION("GOOGLEFINANCE(B22,""eps"")"),1.94)</f>
        <v>1.94</v>
      </c>
      <c r="K22" s="158">
        <v>0.79</v>
      </c>
      <c r="L22" s="166">
        <v>0.8</v>
      </c>
      <c r="M22" s="158" t="s">
        <v>229</v>
      </c>
      <c r="N22" s="130" t="s">
        <v>196</v>
      </c>
      <c r="O22" s="108"/>
      <c r="P22" s="108"/>
    </row>
    <row r="23">
      <c r="A23" s="130" t="s">
        <v>236</v>
      </c>
      <c r="B23" s="130" t="s">
        <v>237</v>
      </c>
      <c r="C23" s="131">
        <f>IFERROR(__xludf.DUMMYFUNCTION("GOOGLEFINANCE(B23,""price"")"),248.59)</f>
        <v>248.59</v>
      </c>
      <c r="D23" s="132">
        <v>310.0</v>
      </c>
      <c r="E23" s="133">
        <f>IFERROR(__xludf.DUMMYFUNCTION("GOOGLEFINANCE(B23,""low52"")"),213.43)</f>
        <v>213.43</v>
      </c>
      <c r="F23" s="133">
        <f>IFERROR(__xludf.DUMMYFUNCTION("GOOGLEFINANCE(B23,""high52"")"),315.95)</f>
        <v>315.95</v>
      </c>
      <c r="G23" s="160">
        <v>0.0107</v>
      </c>
      <c r="H23" s="150">
        <f>IFERROR(__xludf.DUMMYFUNCTION("GOOGLEFINANCE(B23,""pe"")"),27.64)</f>
        <v>27.64</v>
      </c>
      <c r="I23" s="148">
        <v>2.41</v>
      </c>
      <c r="J23" s="167">
        <f>IFERROR(__xludf.DUMMYFUNCTION("GOOGLEFINANCE(B23,""eps"")"),8.99)</f>
        <v>8.99</v>
      </c>
      <c r="K23" s="158">
        <v>0.91</v>
      </c>
      <c r="L23" s="139">
        <f>IFERROR(__xludf.DUMMYFUNCTION("GOOGLEFINANCE(B23,""changepct"")"),-1.48)</f>
        <v>-1.48</v>
      </c>
      <c r="M23" s="158" t="s">
        <v>229</v>
      </c>
      <c r="N23" s="130" t="s">
        <v>196</v>
      </c>
      <c r="O23" s="108"/>
      <c r="P23" s="108"/>
      <c r="Q23" s="108"/>
      <c r="R23" s="108"/>
      <c r="S23" s="108"/>
      <c r="T23" s="108"/>
      <c r="U23" s="108"/>
      <c r="V23" s="108"/>
      <c r="W23" s="108"/>
    </row>
    <row r="24">
      <c r="A24" s="130" t="s">
        <v>238</v>
      </c>
      <c r="B24" s="130" t="s">
        <v>239</v>
      </c>
      <c r="C24" s="131">
        <f>IFERROR(__xludf.DUMMYFUNCTION("GOOGLEFINANCE(B24,""price"")"),117.49)</f>
        <v>117.49</v>
      </c>
      <c r="D24" s="132">
        <v>150.0</v>
      </c>
      <c r="E24" s="133">
        <f>IFERROR(__xludf.DUMMYFUNCTION("GOOGLEFINANCE(B24,""low52"")"),82.22)</f>
        <v>82.22</v>
      </c>
      <c r="F24" s="133">
        <f>IFERROR(__xludf.DUMMYFUNCTION("GOOGLEFINANCE(B24,""high52"")"),139.86)</f>
        <v>139.86</v>
      </c>
      <c r="G24" s="160">
        <v>0.0112</v>
      </c>
      <c r="H24" s="147">
        <f>IFERROR(__xludf.DUMMYFUNCTION("GOOGLEFINANCE(B24,""pe"")"),33.18)</f>
        <v>33.18</v>
      </c>
      <c r="I24" s="156">
        <v>5.05</v>
      </c>
      <c r="J24" s="137">
        <f>IFERROR(__xludf.DUMMYFUNCTION("GOOGLEFINANCE(B24,""eps"")"),3.54)</f>
        <v>3.54</v>
      </c>
      <c r="K24" s="138">
        <v>1.1</v>
      </c>
      <c r="L24" s="139">
        <f>IFERROR(__xludf.DUMMYFUNCTION("GOOGLEFINANCE(B24,""changepct"")"),-0.37)</f>
        <v>-0.37</v>
      </c>
      <c r="M24" s="158" t="s">
        <v>229</v>
      </c>
      <c r="N24" s="145" t="s">
        <v>204</v>
      </c>
      <c r="O24" s="145" t="s">
        <v>213</v>
      </c>
      <c r="P24" s="108"/>
    </row>
    <row r="25">
      <c r="A25" s="130" t="s">
        <v>240</v>
      </c>
      <c r="B25" s="130" t="s">
        <v>241</v>
      </c>
      <c r="C25" s="131">
        <f>IFERROR(__xludf.DUMMYFUNCTION("GOOGLEFINANCE(B25,""price"")"),148.5)</f>
        <v>148.5</v>
      </c>
      <c r="D25" s="132">
        <v>170.0</v>
      </c>
      <c r="E25" s="133">
        <f>IFERROR(__xludf.DUMMYFUNCTION("GOOGLEFINANCE(B25,""low52"")"),124.17)</f>
        <v>124.17</v>
      </c>
      <c r="F25" s="133">
        <f>IFERROR(__xludf.DUMMYFUNCTION("GOOGLEFINANCE(B25,""high52"")"),179.61)</f>
        <v>179.61</v>
      </c>
      <c r="G25" s="168">
        <v>0.0061</v>
      </c>
      <c r="H25" s="135">
        <f>IFERROR(__xludf.DUMMYFUNCTION("GOOGLEFINANCE(B25,""pe"")"),25.23)</f>
        <v>25.23</v>
      </c>
      <c r="I25" s="149">
        <v>3.15</v>
      </c>
      <c r="J25" s="137">
        <f>IFERROR(__xludf.DUMMYFUNCTION("GOOGLEFINANCE(B25,""eps"")"),5.89)</f>
        <v>5.89</v>
      </c>
      <c r="K25" s="138">
        <v>1.3</v>
      </c>
      <c r="L25" s="139">
        <f>IFERROR(__xludf.DUMMYFUNCTION("GOOGLEFINANCE(B25,""changepct"")"),-1.39)</f>
        <v>-1.39</v>
      </c>
      <c r="M25" s="158" t="s">
        <v>229</v>
      </c>
      <c r="N25" s="130" t="s">
        <v>196</v>
      </c>
      <c r="O25" s="108"/>
      <c r="P25" s="108"/>
    </row>
    <row r="26">
      <c r="A26" s="130" t="s">
        <v>242</v>
      </c>
      <c r="B26" s="130" t="s">
        <v>243</v>
      </c>
      <c r="C26" s="131">
        <f>IFERROR(__xludf.DUMMYFUNCTION("GOOGLEFINANCE(B26,""price"")"),216.14)</f>
        <v>216.14</v>
      </c>
      <c r="D26" s="132">
        <v>275.0</v>
      </c>
      <c r="E26" s="133">
        <f>IFERROR(__xludf.DUMMYFUNCTION("GOOGLEFINANCE(B26,""low52"")"),174.6)</f>
        <v>174.6</v>
      </c>
      <c r="F26" s="133">
        <f>IFERROR(__xludf.DUMMYFUNCTION("GOOGLEFINANCE(B26,""high52"")"),234.3)</f>
        <v>234.3</v>
      </c>
      <c r="G26" s="168">
        <v>0.008</v>
      </c>
      <c r="H26" s="147">
        <f>IFERROR(__xludf.DUMMYFUNCTION("GOOGLEFINANCE(B26,""pe"")"),30.21)</f>
        <v>30.21</v>
      </c>
      <c r="I26" s="141">
        <v>2.02</v>
      </c>
      <c r="J26" s="169">
        <f>IFERROR(__xludf.DUMMYFUNCTION("GOOGLEFINANCE(B26,""eps"")"),7.16)</f>
        <v>7.16</v>
      </c>
      <c r="K26" s="158">
        <v>0.97</v>
      </c>
      <c r="L26" s="139">
        <f>IFERROR(__xludf.DUMMYFUNCTION("GOOGLEFINANCE(B26,""changepct"")"),-1.72)</f>
        <v>-1.72</v>
      </c>
      <c r="M26" s="158" t="s">
        <v>229</v>
      </c>
      <c r="N26" s="130" t="s">
        <v>218</v>
      </c>
      <c r="O26" s="108"/>
      <c r="P26" s="108"/>
    </row>
    <row r="27">
      <c r="A27" s="130" t="s">
        <v>244</v>
      </c>
      <c r="B27" s="130" t="s">
        <v>245</v>
      </c>
      <c r="C27" s="131">
        <f>IFERROR(__xludf.DUMMYFUNCTION("GOOGLEFINANCE(B27,""price"")"),40.62)</f>
        <v>40.62</v>
      </c>
      <c r="D27" s="132">
        <v>50.0</v>
      </c>
      <c r="E27" s="133">
        <f>IFERROR(__xludf.DUMMYFUNCTION("GOOGLEFINANCE(B27,""low52"")"),38.39)</f>
        <v>38.39</v>
      </c>
      <c r="F27" s="133">
        <f>IFERROR(__xludf.DUMMYFUNCTION("GOOGLEFINANCE(B27,""high52"")"),57.92)</f>
        <v>57.92</v>
      </c>
      <c r="G27" s="162">
        <v>0.0408</v>
      </c>
      <c r="H27" s="150">
        <f>IFERROR(__xludf.DUMMYFUNCTION("GOOGLEFINANCE(B27,""pe"")"),11.0)</f>
        <v>11</v>
      </c>
      <c r="I27" s="149">
        <v>3.32</v>
      </c>
      <c r="J27" s="137">
        <f>IFERROR(__xludf.DUMMYFUNCTION("GOOGLEFINANCE(B27,""eps"")"),3.69)</f>
        <v>3.69</v>
      </c>
      <c r="K27" s="138">
        <v>1.0</v>
      </c>
      <c r="L27" s="139">
        <f>IFERROR(__xludf.DUMMYFUNCTION("GOOGLEFINANCE(B27,""changepct"")"),-3.98)</f>
        <v>-3.98</v>
      </c>
      <c r="M27" s="158" t="s">
        <v>229</v>
      </c>
      <c r="N27" s="130" t="s">
        <v>218</v>
      </c>
      <c r="O27" s="108"/>
      <c r="P27" s="108"/>
    </row>
    <row r="28">
      <c r="A28" s="130" t="s">
        <v>246</v>
      </c>
      <c r="B28" s="130" t="s">
        <v>247</v>
      </c>
      <c r="C28" s="131">
        <f>IFERROR(__xludf.DUMMYFUNCTION("GOOGLEFINANCE(B28,""price"")"),27.45)</f>
        <v>27.45</v>
      </c>
      <c r="D28" s="132">
        <v>32.0</v>
      </c>
      <c r="E28" s="133">
        <f>IFERROR(__xludf.DUMMYFUNCTION("GOOGLEFINANCE(B28,""low52"")"),24.08)</f>
        <v>24.08</v>
      </c>
      <c r="F28" s="133">
        <f>IFERROR(__xludf.DUMMYFUNCTION("GOOGLEFINANCE(B28,""high52"")"),41.47)</f>
        <v>41.47</v>
      </c>
      <c r="G28" s="134">
        <v>0.0367</v>
      </c>
      <c r="H28" s="142">
        <f>IFERROR(__xludf.DUMMYFUNCTION("GOOGLEFINANCE(B28,""pe"")"),10.94)</f>
        <v>10.94</v>
      </c>
      <c r="I28" s="149">
        <v>18.77</v>
      </c>
      <c r="J28" s="137">
        <f>IFERROR(__xludf.DUMMYFUNCTION("GOOGLEFINANCE(B28,""eps"")"),2.51)</f>
        <v>2.51</v>
      </c>
      <c r="K28" s="158">
        <v>1.03</v>
      </c>
      <c r="L28" s="139">
        <f>IFERROR(__xludf.DUMMYFUNCTION("GOOGLEFINANCE(B28,""changepct"")"),-1.58)</f>
        <v>-1.58</v>
      </c>
      <c r="M28" s="158" t="s">
        <v>229</v>
      </c>
      <c r="N28" s="130" t="s">
        <v>196</v>
      </c>
      <c r="O28" s="108"/>
      <c r="P28" s="108"/>
    </row>
    <row r="29">
      <c r="A29" s="130" t="s">
        <v>248</v>
      </c>
      <c r="B29" s="130" t="s">
        <v>249</v>
      </c>
      <c r="C29" s="131">
        <f>IFERROR(__xludf.DUMMYFUNCTION("GOOGLEFINANCE(B29,""price"")"),54.93)</f>
        <v>54.93</v>
      </c>
      <c r="D29" s="132">
        <v>60.0</v>
      </c>
      <c r="E29" s="133">
        <f>IFERROR(__xludf.DUMMYFUNCTION("GOOGLEFINANCE(B29,""low52"")"),48.43)</f>
        <v>48.43</v>
      </c>
      <c r="F29" s="133">
        <f>IFERROR(__xludf.DUMMYFUNCTION("GOOGLEFINANCE(B29,""high52"")"),86.24)</f>
        <v>86.24</v>
      </c>
      <c r="G29" s="168">
        <v>0.0081</v>
      </c>
      <c r="H29" s="142">
        <f>IFERROR(__xludf.DUMMYFUNCTION("GOOGLEFINANCE(B29,""pe"")"),9.96)</f>
        <v>9.96</v>
      </c>
      <c r="I29" s="141" t="s">
        <v>199</v>
      </c>
      <c r="J29" s="137">
        <f>IFERROR(__xludf.DUMMYFUNCTION("GOOGLEFINANCE(B29,""eps"")"),5.51)</f>
        <v>5.51</v>
      </c>
      <c r="K29" s="138">
        <v>1.39</v>
      </c>
      <c r="L29" s="139">
        <f>IFERROR(__xludf.DUMMYFUNCTION("GOOGLEFINANCE(B29,""changepct"")"),-1.21)</f>
        <v>-1.21</v>
      </c>
      <c r="M29" s="22" t="s">
        <v>250</v>
      </c>
      <c r="N29" s="130" t="s">
        <v>196</v>
      </c>
      <c r="O29" s="108"/>
      <c r="P29" s="108"/>
    </row>
    <row r="30">
      <c r="A30" s="130" t="s">
        <v>251</v>
      </c>
      <c r="B30" s="130" t="s">
        <v>252</v>
      </c>
      <c r="C30" s="131">
        <f>IFERROR(__xludf.DUMMYFUNCTION("GOOGLEFINANCE(B30,""price"")"),159.67)</f>
        <v>159.67</v>
      </c>
      <c r="D30" s="132">
        <v>195.0</v>
      </c>
      <c r="E30" s="133">
        <f>IFERROR(__xludf.DUMMYFUNCTION("GOOGLEFINANCE(B30,""low52"")"),132.54)</f>
        <v>132.54</v>
      </c>
      <c r="F30" s="133">
        <f>IFERROR(__xludf.DUMMYFUNCTION("GOOGLEFINANCE(B30,""high52"")"),189.68)</f>
        <v>189.68</v>
      </c>
      <c r="G30" s="134">
        <v>0.0366</v>
      </c>
      <c r="H30" s="150">
        <f>IFERROR(__xludf.DUMMYFUNCTION("GOOGLEFINANCE(B30,""pe"")"),8.73)</f>
        <v>8.73</v>
      </c>
      <c r="I30" s="141" t="s">
        <v>199</v>
      </c>
      <c r="J30" s="144">
        <f>IFERROR(__xludf.DUMMYFUNCTION("GOOGLEFINANCE(B30,""eps"")"),18.28)</f>
        <v>18.28</v>
      </c>
      <c r="K30" s="138">
        <v>1.15</v>
      </c>
      <c r="L30" s="139">
        <f>IFERROR(__xludf.DUMMYFUNCTION("GOOGLEFINANCE(B30,""changepct"")"),-0.52)</f>
        <v>-0.52</v>
      </c>
      <c r="M30" s="22" t="s">
        <v>250</v>
      </c>
      <c r="N30" s="130" t="s">
        <v>230</v>
      </c>
      <c r="O30" s="108"/>
      <c r="P30" s="108"/>
    </row>
    <row r="31">
      <c r="A31" s="170" t="s">
        <v>253</v>
      </c>
      <c r="B31" s="130" t="s">
        <v>254</v>
      </c>
      <c r="C31" s="131">
        <f>IFERROR(__xludf.DUMMYFUNCTION("GOOGLEFINANCE(B31,""price"")"),109.14)</f>
        <v>109.14</v>
      </c>
      <c r="D31" s="132">
        <v>205.0</v>
      </c>
      <c r="E31" s="133">
        <f>IFERROR(__xludf.DUMMYFUNCTION("GOOGLEFINANCE(B31,""low52"")"),86.71)</f>
        <v>86.71</v>
      </c>
      <c r="F31" s="133">
        <f>IFERROR(__xludf.DUMMYFUNCTION("GOOGLEFINANCE(B31,""high52"")"),161.37)</f>
        <v>161.37</v>
      </c>
      <c r="G31" s="134">
        <v>0.0223</v>
      </c>
      <c r="H31" s="142">
        <f>IFERROR(__xludf.DUMMYFUNCTION("GOOGLEFINANCE(B31,""pe"")"),6.27)</f>
        <v>6.27</v>
      </c>
      <c r="I31" s="149">
        <v>7.93</v>
      </c>
      <c r="J31" s="144">
        <f>IFERROR(__xludf.DUMMYFUNCTION("GOOGLEFINANCE(B31,""eps"")"),17.41)</f>
        <v>17.41</v>
      </c>
      <c r="K31" s="158">
        <v>1.29</v>
      </c>
      <c r="L31" s="139">
        <f>IFERROR(__xludf.DUMMYFUNCTION("GOOGLEFINANCE(B31,""changepct"")"),-3.99)</f>
        <v>-3.99</v>
      </c>
      <c r="M31" s="141" t="s">
        <v>255</v>
      </c>
      <c r="N31" s="130" t="s">
        <v>256</v>
      </c>
      <c r="O31" s="108"/>
      <c r="P31" s="108"/>
    </row>
    <row r="32">
      <c r="A32" s="130" t="s">
        <v>257</v>
      </c>
      <c r="B32" s="130" t="s">
        <v>258</v>
      </c>
      <c r="C32" s="131">
        <f>IFERROR(__xludf.DUMMYFUNCTION("GOOGLEFINANCE(B32,""price"")"),292.76)</f>
        <v>292.76</v>
      </c>
      <c r="D32" s="132">
        <v>630.0</v>
      </c>
      <c r="E32" s="133">
        <f>IFERROR(__xludf.DUMMYFUNCTION("GOOGLEFINANCE(B32,""low52"")"),162.71)</f>
        <v>162.71</v>
      </c>
      <c r="F32" s="133">
        <f>IFERROR(__xludf.DUMMYFUNCTION("GOOGLEFINANCE(B32,""high52"")"),396.5)</f>
        <v>396.5</v>
      </c>
      <c r="G32" s="141" t="s">
        <v>199</v>
      </c>
      <c r="H32" s="150">
        <f>IFERROR(__xludf.DUMMYFUNCTION("GOOGLEFINANCE(B32,""pe"")"),32.04)</f>
        <v>32.04</v>
      </c>
      <c r="I32" s="148">
        <v>2.16</v>
      </c>
      <c r="J32" s="144">
        <f>IFERROR(__xludf.DUMMYFUNCTION("GOOGLEFINANCE(B32,""eps"")"),9.14)</f>
        <v>9.14</v>
      </c>
      <c r="K32" s="158">
        <v>1.26</v>
      </c>
      <c r="L32" s="139">
        <f>IFERROR(__xludf.DUMMYFUNCTION("GOOGLEFINANCE(B32,""changepct"")"),-1.69)</f>
        <v>-1.69</v>
      </c>
      <c r="M32" s="141" t="s">
        <v>255</v>
      </c>
      <c r="N32" s="130" t="s">
        <v>200</v>
      </c>
      <c r="O32" s="146" t="s">
        <v>221</v>
      </c>
      <c r="P32" s="108"/>
    </row>
    <row r="33">
      <c r="A33" s="130"/>
      <c r="B33" s="130"/>
      <c r="C33" s="171"/>
      <c r="D33" s="132"/>
      <c r="E33" s="172"/>
      <c r="F33" s="172"/>
      <c r="G33" s="160"/>
      <c r="H33" s="137"/>
      <c r="I33" s="22"/>
      <c r="J33" s="137"/>
      <c r="K33" s="22"/>
      <c r="L33" s="139"/>
      <c r="M33" s="22"/>
      <c r="N33" s="130"/>
      <c r="O33" s="108"/>
      <c r="P33" s="108"/>
      <c r="Q33" s="108"/>
      <c r="R33" s="108"/>
      <c r="S33" s="108"/>
      <c r="T33" s="108"/>
      <c r="U33" s="108"/>
      <c r="V33" s="108"/>
      <c r="W33" s="108"/>
    </row>
    <row r="34">
      <c r="A34" s="130"/>
      <c r="B34" s="130"/>
      <c r="C34" s="171"/>
      <c r="D34" s="132"/>
      <c r="E34" s="172"/>
      <c r="F34" s="172"/>
      <c r="G34" s="160"/>
      <c r="H34" s="137"/>
      <c r="I34" s="22"/>
      <c r="J34" s="137"/>
      <c r="K34" s="22"/>
      <c r="L34" s="139"/>
      <c r="M34" s="22"/>
      <c r="N34" s="130"/>
      <c r="O34" s="108"/>
      <c r="P34" s="108"/>
      <c r="Q34" s="108"/>
      <c r="R34" s="108"/>
      <c r="S34" s="108"/>
      <c r="T34" s="108"/>
      <c r="U34" s="108"/>
      <c r="V34" s="108"/>
      <c r="W34" s="108"/>
    </row>
    <row r="35">
      <c r="A35" s="130"/>
      <c r="B35" s="130"/>
      <c r="C35" s="171"/>
      <c r="D35" s="132"/>
      <c r="E35" s="172"/>
      <c r="F35" s="172"/>
      <c r="G35" s="160"/>
      <c r="H35" s="137"/>
      <c r="I35" s="22"/>
      <c r="J35" s="137"/>
      <c r="K35" s="22"/>
      <c r="L35" s="139"/>
      <c r="M35" s="22"/>
      <c r="N35" s="130"/>
      <c r="O35" s="108"/>
      <c r="P35" s="108"/>
      <c r="Q35" s="108"/>
      <c r="R35" s="108"/>
      <c r="S35" s="108"/>
      <c r="T35" s="108"/>
      <c r="U35" s="108"/>
      <c r="V35" s="108"/>
      <c r="W35" s="108"/>
    </row>
    <row r="36">
      <c r="A36" s="130"/>
      <c r="B36" s="130"/>
      <c r="C36" s="171"/>
      <c r="D36" s="132"/>
      <c r="E36" s="172"/>
      <c r="F36" s="172"/>
      <c r="G36" s="160"/>
      <c r="H36" s="137"/>
      <c r="I36" s="22"/>
      <c r="J36" s="137"/>
      <c r="K36" s="22"/>
      <c r="L36" s="139"/>
      <c r="M36" s="22"/>
      <c r="N36" s="130"/>
      <c r="O36" s="108"/>
      <c r="P36" s="108"/>
      <c r="Q36" s="108"/>
      <c r="R36" s="108"/>
      <c r="S36" s="108"/>
      <c r="T36" s="108"/>
      <c r="U36" s="108"/>
      <c r="V36" s="108"/>
      <c r="W36" s="108"/>
    </row>
    <row r="37">
      <c r="A37" s="130"/>
      <c r="B37" s="130"/>
      <c r="C37" s="171"/>
      <c r="D37" s="132"/>
      <c r="E37" s="172"/>
      <c r="F37" s="172"/>
      <c r="G37" s="160"/>
      <c r="H37" s="137"/>
      <c r="I37" s="22"/>
      <c r="J37" s="137"/>
      <c r="K37" s="22"/>
      <c r="L37" s="139"/>
      <c r="M37" s="22"/>
      <c r="N37" s="130"/>
      <c r="O37" s="108"/>
      <c r="P37" s="108"/>
      <c r="Q37" s="108"/>
      <c r="R37" s="108"/>
      <c r="S37" s="108"/>
      <c r="T37" s="108"/>
      <c r="U37" s="108"/>
      <c r="V37" s="108"/>
      <c r="W37" s="108"/>
    </row>
    <row r="38">
      <c r="A38" s="108"/>
      <c r="B38" s="108"/>
      <c r="C38" s="108"/>
      <c r="D38" s="108"/>
      <c r="E38" s="112"/>
      <c r="F38" s="112"/>
      <c r="G38" s="108"/>
      <c r="H38" s="108"/>
      <c r="I38" s="108"/>
      <c r="J38" s="108"/>
      <c r="K38" s="108"/>
      <c r="L38" s="108"/>
      <c r="M38" s="108"/>
      <c r="N38" s="112"/>
      <c r="O38" s="108"/>
      <c r="P38" s="108"/>
      <c r="Q38" s="108"/>
      <c r="R38" s="108"/>
      <c r="S38" s="108"/>
      <c r="T38" s="108"/>
      <c r="U38" s="108"/>
      <c r="V38" s="108"/>
      <c r="W38" s="108"/>
    </row>
    <row r="39">
      <c r="A39" s="108"/>
      <c r="B39" s="108"/>
      <c r="C39" s="108"/>
      <c r="D39" s="108"/>
      <c r="E39" s="112"/>
      <c r="F39" s="112"/>
      <c r="G39" s="108"/>
      <c r="H39" s="108"/>
      <c r="I39" s="108"/>
      <c r="J39" s="108"/>
      <c r="K39" s="108"/>
      <c r="L39" s="108"/>
      <c r="M39" s="108"/>
      <c r="N39" s="112"/>
      <c r="O39" s="108"/>
      <c r="P39" s="108"/>
      <c r="Q39" s="108"/>
      <c r="R39" s="108"/>
      <c r="S39" s="108"/>
      <c r="T39" s="108"/>
      <c r="U39" s="108"/>
      <c r="V39" s="108"/>
      <c r="W39" s="108"/>
    </row>
    <row r="40">
      <c r="E40" s="112"/>
      <c r="F40" s="112"/>
      <c r="N40" s="112"/>
    </row>
    <row r="41">
      <c r="E41" s="112"/>
      <c r="F41" s="112"/>
      <c r="N41" s="112"/>
    </row>
    <row r="42">
      <c r="E42" s="112"/>
      <c r="F42" s="112"/>
      <c r="N42" s="112"/>
    </row>
    <row r="43">
      <c r="E43" s="112"/>
      <c r="F43" s="112"/>
      <c r="N43" s="112"/>
    </row>
    <row r="44">
      <c r="E44" s="112"/>
      <c r="F44" s="112"/>
      <c r="N44" s="112"/>
    </row>
    <row r="45">
      <c r="E45" s="112"/>
      <c r="F45" s="112"/>
      <c r="N45" s="112"/>
    </row>
    <row r="46">
      <c r="E46" s="112"/>
      <c r="F46" s="112"/>
      <c r="N46" s="112"/>
    </row>
    <row r="47">
      <c r="E47" s="112"/>
      <c r="F47" s="112"/>
      <c r="N47" s="112"/>
    </row>
    <row r="48">
      <c r="E48" s="112"/>
      <c r="F48" s="112"/>
      <c r="N48" s="112"/>
    </row>
    <row r="49">
      <c r="E49" s="112"/>
      <c r="F49" s="112"/>
      <c r="N49" s="112"/>
    </row>
    <row r="50">
      <c r="E50" s="112"/>
      <c r="F50" s="112"/>
      <c r="N50" s="112"/>
    </row>
    <row r="51">
      <c r="E51" s="112"/>
      <c r="F51" s="112"/>
      <c r="N51" s="112"/>
    </row>
    <row r="52">
      <c r="E52" s="112"/>
      <c r="F52" s="112"/>
      <c r="N52" s="112"/>
    </row>
    <row r="53">
      <c r="E53" s="112"/>
      <c r="F53" s="112"/>
      <c r="N53" s="112"/>
    </row>
    <row r="54">
      <c r="E54" s="112"/>
      <c r="F54" s="112"/>
      <c r="N54" s="112"/>
    </row>
    <row r="55">
      <c r="E55" s="112"/>
      <c r="F55" s="112"/>
      <c r="N55" s="112"/>
    </row>
    <row r="56">
      <c r="E56" s="112"/>
      <c r="F56" s="112"/>
      <c r="N56" s="112"/>
    </row>
    <row r="57">
      <c r="E57" s="112"/>
      <c r="F57" s="112"/>
      <c r="N57" s="112"/>
    </row>
    <row r="58">
      <c r="E58" s="112"/>
      <c r="F58" s="112"/>
      <c r="N58" s="112"/>
    </row>
    <row r="59">
      <c r="E59" s="112"/>
      <c r="F59" s="112"/>
      <c r="N59" s="112"/>
    </row>
    <row r="60">
      <c r="E60" s="112"/>
      <c r="F60" s="112"/>
      <c r="N60" s="112"/>
    </row>
    <row r="61">
      <c r="E61" s="112"/>
      <c r="F61" s="112"/>
      <c r="N61" s="112"/>
    </row>
    <row r="62">
      <c r="E62" s="112"/>
      <c r="F62" s="112"/>
      <c r="N62" s="112"/>
    </row>
    <row r="63">
      <c r="E63" s="112"/>
      <c r="F63" s="112"/>
      <c r="N63" s="112"/>
    </row>
    <row r="64">
      <c r="E64" s="112"/>
      <c r="F64" s="112"/>
      <c r="N64" s="112"/>
    </row>
    <row r="65">
      <c r="E65" s="112"/>
      <c r="F65" s="112"/>
      <c r="N65" s="112"/>
    </row>
    <row r="66">
      <c r="E66" s="112"/>
      <c r="F66" s="112"/>
      <c r="N66" s="112"/>
    </row>
    <row r="67">
      <c r="E67" s="112"/>
      <c r="F67" s="112"/>
      <c r="N67" s="112"/>
    </row>
    <row r="68">
      <c r="E68" s="112"/>
      <c r="F68" s="112"/>
      <c r="N68" s="112"/>
    </row>
    <row r="69">
      <c r="E69" s="112"/>
      <c r="F69" s="112"/>
      <c r="N69" s="112"/>
    </row>
    <row r="70">
      <c r="E70" s="112"/>
      <c r="F70" s="112"/>
      <c r="N70" s="112"/>
    </row>
    <row r="71">
      <c r="E71" s="112"/>
      <c r="F71" s="112"/>
      <c r="N71" s="112"/>
    </row>
    <row r="72">
      <c r="E72" s="112"/>
      <c r="F72" s="112"/>
      <c r="N72" s="112"/>
    </row>
    <row r="73">
      <c r="E73" s="112"/>
      <c r="F73" s="112"/>
      <c r="N73" s="112"/>
    </row>
    <row r="74">
      <c r="E74" s="112"/>
      <c r="F74" s="112"/>
      <c r="N74" s="112"/>
    </row>
    <row r="75">
      <c r="E75" s="112"/>
      <c r="F75" s="112"/>
      <c r="N75" s="112"/>
    </row>
    <row r="76">
      <c r="E76" s="112"/>
      <c r="F76" s="112"/>
      <c r="N76" s="112"/>
    </row>
    <row r="77">
      <c r="E77" s="112"/>
      <c r="F77" s="112"/>
      <c r="N77" s="112"/>
    </row>
    <row r="78">
      <c r="E78" s="112"/>
      <c r="F78" s="112"/>
      <c r="N78" s="112"/>
    </row>
    <row r="79">
      <c r="E79" s="112"/>
      <c r="F79" s="112"/>
      <c r="N79" s="112"/>
    </row>
    <row r="80">
      <c r="E80" s="112"/>
      <c r="F80" s="112"/>
      <c r="N80" s="112"/>
    </row>
    <row r="81">
      <c r="E81" s="112"/>
      <c r="F81" s="112"/>
      <c r="N81" s="112"/>
    </row>
    <row r="82">
      <c r="E82" s="112"/>
      <c r="F82" s="112"/>
      <c r="N82" s="112"/>
    </row>
    <row r="83">
      <c r="E83" s="112"/>
      <c r="F83" s="112"/>
      <c r="N83" s="112"/>
    </row>
    <row r="84">
      <c r="E84" s="112"/>
      <c r="F84" s="112"/>
      <c r="N84" s="112"/>
    </row>
    <row r="85">
      <c r="E85" s="112"/>
      <c r="F85" s="112"/>
      <c r="N85" s="112"/>
    </row>
    <row r="86">
      <c r="E86" s="112"/>
      <c r="F86" s="112"/>
      <c r="N86" s="112"/>
    </row>
    <row r="87">
      <c r="E87" s="112"/>
      <c r="F87" s="112"/>
      <c r="N87" s="112"/>
    </row>
    <row r="88">
      <c r="E88" s="112"/>
      <c r="F88" s="112"/>
      <c r="N88" s="112"/>
    </row>
    <row r="89">
      <c r="E89" s="112"/>
      <c r="F89" s="112"/>
      <c r="N89" s="112"/>
    </row>
    <row r="90">
      <c r="E90" s="112"/>
      <c r="F90" s="112"/>
      <c r="N90" s="112"/>
    </row>
    <row r="91">
      <c r="E91" s="112"/>
      <c r="F91" s="112"/>
      <c r="N91" s="112"/>
    </row>
    <row r="92">
      <c r="E92" s="112"/>
      <c r="F92" s="112"/>
      <c r="N92" s="112"/>
    </row>
    <row r="93">
      <c r="E93" s="112"/>
      <c r="F93" s="112"/>
      <c r="N93" s="112"/>
    </row>
    <row r="94">
      <c r="E94" s="112"/>
      <c r="F94" s="112"/>
      <c r="N94" s="112"/>
    </row>
    <row r="95">
      <c r="E95" s="112"/>
      <c r="F95" s="112"/>
      <c r="N95" s="112"/>
    </row>
    <row r="96">
      <c r="E96" s="112"/>
      <c r="F96" s="112"/>
      <c r="N96" s="112"/>
    </row>
    <row r="97">
      <c r="E97" s="112"/>
      <c r="F97" s="112"/>
      <c r="N97" s="112"/>
    </row>
    <row r="98">
      <c r="E98" s="112"/>
      <c r="F98" s="112"/>
      <c r="N98" s="112"/>
    </row>
    <row r="99">
      <c r="E99" s="112"/>
      <c r="F99" s="112"/>
      <c r="N99" s="112"/>
    </row>
    <row r="100">
      <c r="E100" s="112"/>
      <c r="F100" s="112"/>
      <c r="N100" s="112"/>
    </row>
    <row r="101">
      <c r="E101" s="112"/>
      <c r="F101" s="112"/>
      <c r="N101" s="112"/>
    </row>
    <row r="102">
      <c r="E102" s="112"/>
      <c r="F102" s="112"/>
      <c r="N102" s="112"/>
    </row>
    <row r="103">
      <c r="E103" s="112"/>
      <c r="F103" s="112"/>
      <c r="N103" s="112"/>
    </row>
    <row r="104">
      <c r="E104" s="112"/>
      <c r="F104" s="112"/>
      <c r="N104" s="112"/>
    </row>
    <row r="105">
      <c r="E105" s="112"/>
      <c r="F105" s="112"/>
      <c r="N105" s="112"/>
    </row>
    <row r="106">
      <c r="E106" s="112"/>
      <c r="F106" s="112"/>
      <c r="N106" s="112"/>
    </row>
    <row r="107">
      <c r="E107" s="112"/>
      <c r="F107" s="112"/>
      <c r="N107" s="112"/>
    </row>
    <row r="108">
      <c r="E108" s="112"/>
      <c r="F108" s="112"/>
      <c r="N108" s="112"/>
    </row>
    <row r="109">
      <c r="E109" s="112"/>
      <c r="F109" s="112"/>
      <c r="N109" s="112"/>
    </row>
    <row r="110">
      <c r="E110" s="112"/>
      <c r="F110" s="112"/>
      <c r="N110" s="112"/>
    </row>
    <row r="111">
      <c r="E111" s="112"/>
      <c r="F111" s="112"/>
      <c r="N111" s="112"/>
    </row>
    <row r="112">
      <c r="E112" s="112"/>
      <c r="F112" s="112"/>
      <c r="N112" s="112"/>
    </row>
    <row r="113">
      <c r="E113" s="112"/>
      <c r="F113" s="112"/>
      <c r="N113" s="112"/>
    </row>
    <row r="114">
      <c r="E114" s="112"/>
      <c r="F114" s="112"/>
      <c r="N114" s="112"/>
    </row>
    <row r="115">
      <c r="E115" s="112"/>
      <c r="F115" s="112"/>
      <c r="N115" s="112"/>
    </row>
    <row r="116">
      <c r="E116" s="112"/>
      <c r="F116" s="112"/>
      <c r="N116" s="112"/>
    </row>
    <row r="117">
      <c r="E117" s="112"/>
      <c r="F117" s="112"/>
      <c r="N117" s="112"/>
    </row>
    <row r="118">
      <c r="E118" s="112"/>
      <c r="F118" s="112"/>
      <c r="N118" s="112"/>
    </row>
    <row r="119">
      <c r="E119" s="112"/>
      <c r="F119" s="112"/>
      <c r="N119" s="112"/>
    </row>
    <row r="120">
      <c r="E120" s="112"/>
      <c r="F120" s="112"/>
      <c r="N120" s="112"/>
    </row>
    <row r="121">
      <c r="E121" s="112"/>
      <c r="F121" s="112"/>
      <c r="N121" s="112"/>
    </row>
    <row r="122">
      <c r="E122" s="112"/>
      <c r="F122" s="112"/>
      <c r="N122" s="112"/>
    </row>
    <row r="123">
      <c r="E123" s="112"/>
      <c r="F123" s="112"/>
      <c r="N123" s="112"/>
    </row>
    <row r="124">
      <c r="E124" s="112"/>
      <c r="F124" s="112"/>
      <c r="N124" s="112"/>
    </row>
    <row r="125">
      <c r="E125" s="112"/>
      <c r="F125" s="112"/>
      <c r="N125" s="112"/>
    </row>
    <row r="126">
      <c r="E126" s="112"/>
      <c r="F126" s="112"/>
      <c r="N126" s="112"/>
    </row>
    <row r="127">
      <c r="E127" s="112"/>
      <c r="F127" s="112"/>
      <c r="N127" s="112"/>
    </row>
    <row r="128">
      <c r="E128" s="112"/>
      <c r="F128" s="112"/>
      <c r="N128" s="112"/>
    </row>
    <row r="129">
      <c r="E129" s="112"/>
      <c r="F129" s="112"/>
      <c r="N129" s="112"/>
    </row>
    <row r="130">
      <c r="E130" s="112"/>
      <c r="F130" s="112"/>
      <c r="N130" s="112"/>
    </row>
    <row r="131">
      <c r="E131" s="112"/>
      <c r="F131" s="112"/>
      <c r="N131" s="112"/>
    </row>
    <row r="132">
      <c r="E132" s="112"/>
      <c r="F132" s="112"/>
      <c r="N132" s="112"/>
    </row>
    <row r="133">
      <c r="E133" s="112"/>
      <c r="F133" s="112"/>
      <c r="N133" s="112"/>
    </row>
    <row r="134">
      <c r="E134" s="112"/>
      <c r="F134" s="112"/>
      <c r="N134" s="112"/>
    </row>
    <row r="135">
      <c r="E135" s="112"/>
      <c r="F135" s="112"/>
      <c r="N135" s="112"/>
    </row>
    <row r="136">
      <c r="E136" s="112"/>
      <c r="F136" s="112"/>
      <c r="N136" s="112"/>
    </row>
    <row r="137">
      <c r="E137" s="112"/>
      <c r="F137" s="112"/>
      <c r="N137" s="112"/>
    </row>
    <row r="138">
      <c r="E138" s="112"/>
      <c r="F138" s="112"/>
      <c r="N138" s="112"/>
    </row>
    <row r="139">
      <c r="E139" s="112"/>
      <c r="F139" s="112"/>
      <c r="N139" s="112"/>
    </row>
    <row r="140">
      <c r="E140" s="112"/>
      <c r="F140" s="112"/>
      <c r="N140" s="112"/>
    </row>
    <row r="141">
      <c r="E141" s="112"/>
      <c r="F141" s="112"/>
      <c r="N141" s="112"/>
    </row>
    <row r="142">
      <c r="E142" s="112"/>
      <c r="F142" s="112"/>
      <c r="N142" s="112"/>
    </row>
    <row r="143">
      <c r="E143" s="112"/>
      <c r="F143" s="112"/>
      <c r="N143" s="112"/>
    </row>
    <row r="144">
      <c r="E144" s="112"/>
      <c r="F144" s="112"/>
      <c r="N144" s="112"/>
    </row>
    <row r="145">
      <c r="E145" s="112"/>
      <c r="F145" s="112"/>
      <c r="N145" s="112"/>
    </row>
    <row r="146">
      <c r="E146" s="112"/>
      <c r="F146" s="112"/>
      <c r="N146" s="112"/>
    </row>
    <row r="147">
      <c r="E147" s="112"/>
      <c r="F147" s="112"/>
      <c r="N147" s="112"/>
    </row>
    <row r="148">
      <c r="E148" s="112"/>
      <c r="F148" s="112"/>
      <c r="N148" s="112"/>
    </row>
    <row r="149">
      <c r="E149" s="112"/>
      <c r="F149" s="112"/>
      <c r="N149" s="112"/>
    </row>
    <row r="150">
      <c r="E150" s="112"/>
      <c r="F150" s="112"/>
      <c r="N150" s="112"/>
    </row>
    <row r="151">
      <c r="E151" s="112"/>
      <c r="F151" s="112"/>
      <c r="N151" s="112"/>
    </row>
    <row r="152">
      <c r="E152" s="112"/>
      <c r="F152" s="112"/>
      <c r="N152" s="112"/>
    </row>
    <row r="153">
      <c r="E153" s="112"/>
      <c r="F153" s="112"/>
      <c r="N153" s="112"/>
    </row>
    <row r="154">
      <c r="E154" s="112"/>
      <c r="F154" s="112"/>
      <c r="N154" s="112"/>
    </row>
    <row r="155">
      <c r="E155" s="112"/>
      <c r="F155" s="112"/>
      <c r="N155" s="112"/>
    </row>
    <row r="156">
      <c r="E156" s="112"/>
      <c r="F156" s="112"/>
      <c r="N156" s="112"/>
    </row>
    <row r="157">
      <c r="E157" s="112"/>
      <c r="F157" s="112"/>
      <c r="N157" s="112"/>
    </row>
    <row r="158">
      <c r="E158" s="112"/>
      <c r="F158" s="112"/>
      <c r="N158" s="112"/>
    </row>
    <row r="159">
      <c r="E159" s="112"/>
      <c r="F159" s="112"/>
      <c r="N159" s="112"/>
    </row>
    <row r="160">
      <c r="E160" s="112"/>
      <c r="F160" s="112"/>
      <c r="N160" s="112"/>
    </row>
    <row r="161">
      <c r="E161" s="112"/>
      <c r="F161" s="112"/>
      <c r="N161" s="112"/>
    </row>
    <row r="162">
      <c r="E162" s="112"/>
      <c r="F162" s="112"/>
      <c r="N162" s="112"/>
    </row>
    <row r="163">
      <c r="E163" s="112"/>
      <c r="F163" s="112"/>
      <c r="N163" s="112"/>
    </row>
    <row r="164">
      <c r="E164" s="112"/>
      <c r="F164" s="112"/>
      <c r="N164" s="112"/>
    </row>
    <row r="165">
      <c r="E165" s="112"/>
      <c r="F165" s="112"/>
      <c r="N165" s="112"/>
    </row>
    <row r="166">
      <c r="E166" s="112"/>
      <c r="F166" s="112"/>
      <c r="N166" s="112"/>
    </row>
    <row r="167">
      <c r="E167" s="112"/>
      <c r="F167" s="112"/>
      <c r="N167" s="112"/>
    </row>
    <row r="168">
      <c r="E168" s="112"/>
      <c r="F168" s="112"/>
      <c r="N168" s="112"/>
    </row>
    <row r="169">
      <c r="E169" s="112"/>
      <c r="F169" s="112"/>
      <c r="N169" s="112"/>
    </row>
    <row r="170">
      <c r="E170" s="112"/>
      <c r="F170" s="112"/>
      <c r="N170" s="112"/>
    </row>
    <row r="171">
      <c r="E171" s="112"/>
      <c r="F171" s="112"/>
      <c r="N171" s="112"/>
    </row>
    <row r="172">
      <c r="E172" s="112"/>
      <c r="F172" s="112"/>
      <c r="N172" s="112"/>
    </row>
    <row r="173">
      <c r="E173" s="112"/>
      <c r="F173" s="112"/>
      <c r="N173" s="112"/>
    </row>
    <row r="174">
      <c r="E174" s="112"/>
      <c r="F174" s="112"/>
      <c r="N174" s="112"/>
    </row>
    <row r="175">
      <c r="E175" s="112"/>
      <c r="F175" s="112"/>
      <c r="N175" s="112"/>
    </row>
    <row r="176">
      <c r="E176" s="112"/>
      <c r="F176" s="112"/>
      <c r="N176" s="112"/>
    </row>
    <row r="177">
      <c r="E177" s="112"/>
      <c r="F177" s="112"/>
      <c r="N177" s="112"/>
    </row>
    <row r="178">
      <c r="E178" s="112"/>
      <c r="F178" s="112"/>
      <c r="N178" s="112"/>
    </row>
    <row r="179">
      <c r="E179" s="112"/>
      <c r="F179" s="112"/>
      <c r="N179" s="112"/>
    </row>
    <row r="180">
      <c r="E180" s="112"/>
      <c r="F180" s="112"/>
      <c r="N180" s="112"/>
    </row>
    <row r="181">
      <c r="E181" s="112"/>
      <c r="F181" s="112"/>
      <c r="N181" s="112"/>
    </row>
    <row r="182">
      <c r="E182" s="112"/>
      <c r="F182" s="112"/>
      <c r="N182" s="112"/>
    </row>
    <row r="183">
      <c r="E183" s="112"/>
      <c r="F183" s="112"/>
      <c r="N183" s="112"/>
    </row>
    <row r="184">
      <c r="E184" s="112"/>
      <c r="F184" s="112"/>
      <c r="N184" s="112"/>
    </row>
    <row r="185">
      <c r="E185" s="112"/>
      <c r="F185" s="112"/>
      <c r="N185" s="112"/>
    </row>
    <row r="186">
      <c r="E186" s="112"/>
      <c r="F186" s="112"/>
      <c r="N186" s="112"/>
    </row>
    <row r="187">
      <c r="E187" s="112"/>
      <c r="F187" s="112"/>
      <c r="N187" s="112"/>
    </row>
    <row r="188">
      <c r="E188" s="112"/>
      <c r="F188" s="112"/>
      <c r="N188" s="112"/>
    </row>
    <row r="189">
      <c r="E189" s="112"/>
      <c r="F189" s="112"/>
      <c r="N189" s="112"/>
    </row>
    <row r="190">
      <c r="E190" s="112"/>
      <c r="F190" s="112"/>
      <c r="N190" s="112"/>
    </row>
    <row r="191">
      <c r="E191" s="112"/>
      <c r="F191" s="112"/>
      <c r="N191" s="112"/>
    </row>
    <row r="192">
      <c r="E192" s="112"/>
      <c r="F192" s="112"/>
      <c r="N192" s="112"/>
    </row>
    <row r="193">
      <c r="E193" s="112"/>
      <c r="F193" s="112"/>
      <c r="N193" s="112"/>
    </row>
    <row r="194">
      <c r="E194" s="112"/>
      <c r="F194" s="112"/>
      <c r="N194" s="112"/>
    </row>
    <row r="195">
      <c r="E195" s="112"/>
      <c r="F195" s="112"/>
      <c r="N195" s="112"/>
    </row>
    <row r="196">
      <c r="E196" s="112"/>
      <c r="F196" s="112"/>
      <c r="N196" s="112"/>
    </row>
    <row r="197">
      <c r="E197" s="112"/>
      <c r="F197" s="112"/>
      <c r="N197" s="112"/>
    </row>
    <row r="198">
      <c r="E198" s="112"/>
      <c r="F198" s="112"/>
      <c r="N198" s="112"/>
    </row>
    <row r="199">
      <c r="E199" s="112"/>
      <c r="F199" s="112"/>
      <c r="N199" s="112"/>
    </row>
    <row r="200">
      <c r="E200" s="112"/>
      <c r="F200" s="112"/>
      <c r="N200" s="112"/>
    </row>
    <row r="201">
      <c r="E201" s="112"/>
      <c r="F201" s="112"/>
      <c r="N201" s="112"/>
    </row>
    <row r="202">
      <c r="E202" s="112"/>
      <c r="F202" s="112"/>
      <c r="N202" s="112"/>
    </row>
    <row r="203">
      <c r="E203" s="112"/>
      <c r="F203" s="112"/>
      <c r="N203" s="112"/>
    </row>
    <row r="204">
      <c r="E204" s="112"/>
      <c r="F204" s="112"/>
      <c r="N204" s="112"/>
    </row>
    <row r="205">
      <c r="E205" s="112"/>
      <c r="F205" s="112"/>
      <c r="N205" s="112"/>
    </row>
    <row r="206">
      <c r="E206" s="112"/>
      <c r="F206" s="112"/>
      <c r="N206" s="112"/>
    </row>
    <row r="207">
      <c r="E207" s="112"/>
      <c r="F207" s="112"/>
      <c r="N207" s="112"/>
    </row>
    <row r="208">
      <c r="E208" s="112"/>
      <c r="F208" s="112"/>
      <c r="N208" s="112"/>
    </row>
    <row r="209">
      <c r="E209" s="112"/>
      <c r="F209" s="112"/>
      <c r="N209" s="112"/>
    </row>
    <row r="210">
      <c r="E210" s="112"/>
      <c r="F210" s="112"/>
      <c r="N210" s="112"/>
    </row>
    <row r="211">
      <c r="E211" s="112"/>
      <c r="F211" s="112"/>
      <c r="N211" s="112"/>
    </row>
    <row r="212">
      <c r="E212" s="112"/>
      <c r="F212" s="112"/>
      <c r="N212" s="112"/>
    </row>
    <row r="213">
      <c r="E213" s="112"/>
      <c r="F213" s="112"/>
      <c r="N213" s="112"/>
    </row>
    <row r="214">
      <c r="E214" s="112"/>
      <c r="F214" s="112"/>
      <c r="N214" s="112"/>
    </row>
    <row r="215">
      <c r="E215" s="112"/>
      <c r="F215" s="112"/>
      <c r="N215" s="112"/>
    </row>
    <row r="216">
      <c r="E216" s="112"/>
      <c r="F216" s="112"/>
      <c r="N216" s="112"/>
    </row>
    <row r="217">
      <c r="E217" s="112"/>
      <c r="F217" s="112"/>
      <c r="N217" s="112"/>
    </row>
    <row r="218">
      <c r="E218" s="112"/>
      <c r="F218" s="112"/>
      <c r="N218" s="112"/>
    </row>
    <row r="219">
      <c r="E219" s="112"/>
      <c r="F219" s="112"/>
      <c r="N219" s="112"/>
    </row>
    <row r="220">
      <c r="E220" s="112"/>
      <c r="F220" s="112"/>
      <c r="N220" s="112"/>
    </row>
    <row r="221">
      <c r="E221" s="112"/>
      <c r="F221" s="112"/>
      <c r="N221" s="112"/>
    </row>
    <row r="222">
      <c r="E222" s="112"/>
      <c r="F222" s="112"/>
      <c r="N222" s="112"/>
    </row>
    <row r="223">
      <c r="E223" s="112"/>
      <c r="F223" s="112"/>
      <c r="N223" s="112"/>
    </row>
    <row r="224">
      <c r="E224" s="112"/>
      <c r="F224" s="112"/>
      <c r="N224" s="112"/>
    </row>
    <row r="225">
      <c r="E225" s="112"/>
      <c r="F225" s="112"/>
      <c r="N225" s="112"/>
    </row>
    <row r="226">
      <c r="E226" s="112"/>
      <c r="F226" s="112"/>
      <c r="N226" s="112"/>
    </row>
    <row r="227">
      <c r="E227" s="112"/>
      <c r="F227" s="112"/>
      <c r="N227" s="112"/>
    </row>
    <row r="228">
      <c r="E228" s="112"/>
      <c r="F228" s="112"/>
      <c r="N228" s="112"/>
    </row>
    <row r="229">
      <c r="E229" s="112"/>
      <c r="F229" s="112"/>
      <c r="N229" s="112"/>
    </row>
    <row r="230">
      <c r="E230" s="112"/>
      <c r="F230" s="112"/>
      <c r="N230" s="112"/>
    </row>
    <row r="231">
      <c r="E231" s="112"/>
      <c r="F231" s="112"/>
      <c r="N231" s="112"/>
    </row>
    <row r="232">
      <c r="E232" s="112"/>
      <c r="F232" s="112"/>
      <c r="N232" s="112"/>
    </row>
    <row r="233">
      <c r="E233" s="112"/>
      <c r="F233" s="112"/>
      <c r="N233" s="112"/>
    </row>
    <row r="234">
      <c r="E234" s="112"/>
      <c r="F234" s="112"/>
      <c r="N234" s="112"/>
    </row>
    <row r="235">
      <c r="E235" s="112"/>
      <c r="F235" s="112"/>
      <c r="N235" s="112"/>
    </row>
    <row r="236">
      <c r="E236" s="112"/>
      <c r="F236" s="112"/>
      <c r="N236" s="112"/>
    </row>
    <row r="237">
      <c r="E237" s="112"/>
      <c r="F237" s="112"/>
      <c r="N237" s="112"/>
    </row>
    <row r="238">
      <c r="E238" s="112"/>
      <c r="F238" s="112"/>
      <c r="N238" s="112"/>
    </row>
    <row r="239">
      <c r="E239" s="112"/>
      <c r="F239" s="112"/>
      <c r="N239" s="112"/>
    </row>
    <row r="240">
      <c r="E240" s="112"/>
      <c r="F240" s="112"/>
      <c r="N240" s="112"/>
    </row>
    <row r="241">
      <c r="E241" s="112"/>
      <c r="F241" s="112"/>
      <c r="N241" s="112"/>
    </row>
    <row r="242">
      <c r="E242" s="112"/>
      <c r="F242" s="112"/>
      <c r="N242" s="112"/>
    </row>
    <row r="243">
      <c r="E243" s="112"/>
      <c r="F243" s="112"/>
      <c r="N243" s="112"/>
    </row>
    <row r="244">
      <c r="E244" s="112"/>
      <c r="F244" s="112"/>
      <c r="N244" s="112"/>
    </row>
    <row r="245">
      <c r="E245" s="112"/>
      <c r="F245" s="112"/>
      <c r="N245" s="112"/>
    </row>
    <row r="246">
      <c r="E246" s="112"/>
      <c r="F246" s="112"/>
      <c r="N246" s="112"/>
    </row>
    <row r="247">
      <c r="E247" s="112"/>
      <c r="F247" s="112"/>
      <c r="N247" s="112"/>
    </row>
    <row r="248">
      <c r="E248" s="112"/>
      <c r="F248" s="112"/>
      <c r="N248" s="112"/>
    </row>
    <row r="249">
      <c r="E249" s="112"/>
      <c r="F249" s="112"/>
      <c r="N249" s="112"/>
    </row>
    <row r="250">
      <c r="E250" s="112"/>
      <c r="F250" s="112"/>
      <c r="N250" s="112"/>
    </row>
    <row r="251">
      <c r="E251" s="112"/>
      <c r="F251" s="112"/>
      <c r="N251" s="112"/>
    </row>
    <row r="252">
      <c r="E252" s="112"/>
      <c r="F252" s="112"/>
      <c r="N252" s="112"/>
    </row>
    <row r="253">
      <c r="E253" s="112"/>
      <c r="F253" s="112"/>
      <c r="N253" s="112"/>
    </row>
    <row r="254">
      <c r="E254" s="112"/>
      <c r="F254" s="112"/>
      <c r="N254" s="112"/>
    </row>
    <row r="255">
      <c r="E255" s="112"/>
      <c r="F255" s="112"/>
      <c r="N255" s="112"/>
    </row>
    <row r="256">
      <c r="E256" s="112"/>
      <c r="F256" s="112"/>
      <c r="N256" s="112"/>
    </row>
    <row r="257">
      <c r="E257" s="112"/>
      <c r="F257" s="112"/>
      <c r="N257" s="112"/>
    </row>
    <row r="258">
      <c r="E258" s="112"/>
      <c r="F258" s="112"/>
      <c r="N258" s="112"/>
    </row>
    <row r="259">
      <c r="E259" s="112"/>
      <c r="F259" s="112"/>
      <c r="N259" s="112"/>
    </row>
    <row r="260">
      <c r="E260" s="112"/>
      <c r="F260" s="112"/>
      <c r="N260" s="112"/>
    </row>
    <row r="261">
      <c r="E261" s="112"/>
      <c r="F261" s="112"/>
      <c r="N261" s="112"/>
    </row>
    <row r="262">
      <c r="E262" s="112"/>
      <c r="F262" s="112"/>
      <c r="N262" s="112"/>
    </row>
    <row r="263">
      <c r="E263" s="112"/>
      <c r="F263" s="112"/>
      <c r="N263" s="112"/>
    </row>
    <row r="264">
      <c r="E264" s="112"/>
      <c r="F264" s="112"/>
      <c r="N264" s="112"/>
    </row>
    <row r="265">
      <c r="E265" s="112"/>
      <c r="F265" s="112"/>
      <c r="N265" s="112"/>
    </row>
    <row r="266">
      <c r="E266" s="112"/>
      <c r="F266" s="112"/>
      <c r="N266" s="112"/>
    </row>
    <row r="267">
      <c r="E267" s="112"/>
      <c r="F267" s="112"/>
      <c r="N267" s="112"/>
    </row>
    <row r="268">
      <c r="E268" s="112"/>
      <c r="F268" s="112"/>
      <c r="N268" s="112"/>
    </row>
    <row r="269">
      <c r="E269" s="112"/>
      <c r="F269" s="112"/>
      <c r="N269" s="112"/>
    </row>
    <row r="270">
      <c r="E270" s="112"/>
      <c r="F270" s="112"/>
      <c r="N270" s="112"/>
    </row>
    <row r="271">
      <c r="E271" s="112"/>
      <c r="F271" s="112"/>
      <c r="N271" s="112"/>
    </row>
    <row r="272">
      <c r="E272" s="112"/>
      <c r="F272" s="112"/>
      <c r="N272" s="112"/>
    </row>
    <row r="273">
      <c r="E273" s="112"/>
      <c r="F273" s="112"/>
      <c r="N273" s="112"/>
    </row>
    <row r="274">
      <c r="E274" s="112"/>
      <c r="F274" s="112"/>
      <c r="N274" s="112"/>
    </row>
    <row r="275">
      <c r="E275" s="112"/>
      <c r="F275" s="112"/>
      <c r="N275" s="112"/>
    </row>
    <row r="276">
      <c r="E276" s="112"/>
      <c r="F276" s="112"/>
      <c r="N276" s="112"/>
    </row>
    <row r="277">
      <c r="E277" s="112"/>
      <c r="F277" s="112"/>
      <c r="N277" s="112"/>
    </row>
    <row r="278">
      <c r="E278" s="112"/>
      <c r="F278" s="112"/>
      <c r="N278" s="112"/>
    </row>
    <row r="279">
      <c r="E279" s="112"/>
      <c r="F279" s="112"/>
      <c r="N279" s="112"/>
    </row>
    <row r="280">
      <c r="E280" s="112"/>
      <c r="F280" s="112"/>
      <c r="N280" s="112"/>
    </row>
    <row r="281">
      <c r="E281" s="112"/>
      <c r="F281" s="112"/>
      <c r="N281" s="112"/>
    </row>
    <row r="282">
      <c r="E282" s="112"/>
      <c r="F282" s="112"/>
      <c r="N282" s="112"/>
    </row>
    <row r="283">
      <c r="E283" s="112"/>
      <c r="F283" s="112"/>
      <c r="N283" s="112"/>
    </row>
    <row r="284">
      <c r="E284" s="112"/>
      <c r="F284" s="112"/>
      <c r="N284" s="112"/>
    </row>
    <row r="285">
      <c r="E285" s="112"/>
      <c r="F285" s="112"/>
      <c r="N285" s="112"/>
    </row>
    <row r="286">
      <c r="E286" s="112"/>
      <c r="F286" s="112"/>
      <c r="N286" s="112"/>
    </row>
    <row r="287">
      <c r="E287" s="112"/>
      <c r="F287" s="112"/>
      <c r="N287" s="112"/>
    </row>
    <row r="288">
      <c r="E288" s="112"/>
      <c r="F288" s="112"/>
      <c r="N288" s="112"/>
    </row>
    <row r="289">
      <c r="E289" s="112"/>
      <c r="F289" s="112"/>
      <c r="N289" s="112"/>
    </row>
    <row r="290">
      <c r="E290" s="112"/>
      <c r="F290" s="112"/>
      <c r="N290" s="112"/>
    </row>
    <row r="291">
      <c r="E291" s="112"/>
      <c r="F291" s="112"/>
      <c r="N291" s="112"/>
    </row>
    <row r="292">
      <c r="E292" s="112"/>
      <c r="F292" s="112"/>
      <c r="N292" s="112"/>
    </row>
    <row r="293">
      <c r="E293" s="112"/>
      <c r="F293" s="112"/>
      <c r="N293" s="112"/>
    </row>
    <row r="294">
      <c r="E294" s="112"/>
      <c r="F294" s="112"/>
      <c r="N294" s="112"/>
    </row>
    <row r="295">
      <c r="E295" s="112"/>
      <c r="F295" s="112"/>
      <c r="N295" s="112"/>
    </row>
    <row r="296">
      <c r="E296" s="112"/>
      <c r="F296" s="112"/>
      <c r="N296" s="112"/>
    </row>
    <row r="297">
      <c r="E297" s="112"/>
      <c r="F297" s="112"/>
      <c r="N297" s="112"/>
    </row>
    <row r="298">
      <c r="E298" s="112"/>
      <c r="F298" s="112"/>
      <c r="N298" s="112"/>
    </row>
    <row r="299">
      <c r="E299" s="112"/>
      <c r="F299" s="112"/>
      <c r="N299" s="112"/>
    </row>
    <row r="300">
      <c r="E300" s="112"/>
      <c r="F300" s="112"/>
      <c r="N300" s="112"/>
    </row>
    <row r="301">
      <c r="E301" s="112"/>
      <c r="F301" s="112"/>
      <c r="N301" s="112"/>
    </row>
    <row r="302">
      <c r="E302" s="112"/>
      <c r="F302" s="112"/>
      <c r="N302" s="112"/>
    </row>
    <row r="303">
      <c r="E303" s="112"/>
      <c r="F303" s="112"/>
      <c r="N303" s="112"/>
    </row>
    <row r="304">
      <c r="E304" s="112"/>
      <c r="F304" s="112"/>
      <c r="N304" s="112"/>
    </row>
    <row r="305">
      <c r="E305" s="112"/>
      <c r="F305" s="112"/>
      <c r="N305" s="112"/>
    </row>
    <row r="306">
      <c r="E306" s="112"/>
      <c r="F306" s="112"/>
      <c r="N306" s="112"/>
    </row>
    <row r="307">
      <c r="E307" s="112"/>
      <c r="F307" s="112"/>
      <c r="N307" s="112"/>
    </row>
    <row r="308">
      <c r="E308" s="112"/>
      <c r="F308" s="112"/>
      <c r="N308" s="112"/>
    </row>
    <row r="309">
      <c r="E309" s="112"/>
      <c r="F309" s="112"/>
      <c r="N309" s="112"/>
    </row>
    <row r="310">
      <c r="E310" s="112"/>
      <c r="F310" s="112"/>
      <c r="N310" s="112"/>
    </row>
    <row r="311">
      <c r="E311" s="112"/>
      <c r="F311" s="112"/>
      <c r="N311" s="112"/>
    </row>
    <row r="312">
      <c r="E312" s="112"/>
      <c r="F312" s="112"/>
      <c r="N312" s="112"/>
    </row>
    <row r="313">
      <c r="E313" s="112"/>
      <c r="F313" s="112"/>
      <c r="N313" s="112"/>
    </row>
    <row r="314">
      <c r="E314" s="112"/>
      <c r="F314" s="112"/>
      <c r="N314" s="112"/>
    </row>
    <row r="315">
      <c r="E315" s="112"/>
      <c r="F315" s="112"/>
      <c r="N315" s="112"/>
    </row>
    <row r="316">
      <c r="E316" s="112"/>
      <c r="F316" s="112"/>
      <c r="N316" s="112"/>
    </row>
    <row r="317">
      <c r="E317" s="112"/>
      <c r="F317" s="112"/>
      <c r="N317" s="112"/>
    </row>
    <row r="318">
      <c r="E318" s="112"/>
      <c r="F318" s="112"/>
      <c r="N318" s="112"/>
    </row>
    <row r="319">
      <c r="E319" s="112"/>
      <c r="F319" s="112"/>
      <c r="N319" s="112"/>
    </row>
    <row r="320">
      <c r="E320" s="112"/>
      <c r="F320" s="112"/>
      <c r="N320" s="112"/>
    </row>
    <row r="321">
      <c r="E321" s="112"/>
      <c r="F321" s="112"/>
      <c r="N321" s="112"/>
    </row>
    <row r="322">
      <c r="E322" s="112"/>
      <c r="F322" s="112"/>
      <c r="N322" s="112"/>
    </row>
    <row r="323">
      <c r="E323" s="112"/>
      <c r="F323" s="112"/>
      <c r="N323" s="112"/>
    </row>
    <row r="324">
      <c r="E324" s="112"/>
      <c r="F324" s="112"/>
      <c r="N324" s="112"/>
    </row>
    <row r="325">
      <c r="E325" s="112"/>
      <c r="F325" s="112"/>
      <c r="N325" s="112"/>
    </row>
    <row r="326">
      <c r="E326" s="112"/>
      <c r="F326" s="112"/>
      <c r="N326" s="112"/>
    </row>
    <row r="327">
      <c r="E327" s="112"/>
      <c r="F327" s="112"/>
      <c r="N327" s="112"/>
    </row>
    <row r="328">
      <c r="E328" s="112"/>
      <c r="F328" s="112"/>
      <c r="N328" s="112"/>
    </row>
    <row r="329">
      <c r="E329" s="112"/>
      <c r="F329" s="112"/>
      <c r="N329" s="112"/>
    </row>
    <row r="330">
      <c r="E330" s="112"/>
      <c r="F330" s="112"/>
      <c r="N330" s="112"/>
    </row>
    <row r="331">
      <c r="E331" s="112"/>
      <c r="F331" s="112"/>
      <c r="N331" s="112"/>
    </row>
    <row r="332">
      <c r="E332" s="112"/>
      <c r="F332" s="112"/>
      <c r="N332" s="112"/>
    </row>
    <row r="333">
      <c r="E333" s="112"/>
      <c r="F333" s="112"/>
      <c r="N333" s="112"/>
    </row>
    <row r="334">
      <c r="E334" s="112"/>
      <c r="F334" s="112"/>
      <c r="N334" s="112"/>
    </row>
    <row r="335">
      <c r="E335" s="112"/>
      <c r="F335" s="112"/>
      <c r="N335" s="112"/>
    </row>
    <row r="336">
      <c r="E336" s="112"/>
      <c r="F336" s="112"/>
      <c r="N336" s="112"/>
    </row>
    <row r="337">
      <c r="E337" s="112"/>
      <c r="F337" s="112"/>
      <c r="N337" s="112"/>
    </row>
    <row r="338">
      <c r="E338" s="112"/>
      <c r="F338" s="112"/>
      <c r="N338" s="112"/>
    </row>
    <row r="339">
      <c r="E339" s="112"/>
      <c r="F339" s="112"/>
      <c r="N339" s="112"/>
    </row>
    <row r="340">
      <c r="E340" s="112"/>
      <c r="F340" s="112"/>
      <c r="N340" s="112"/>
    </row>
    <row r="341">
      <c r="E341" s="112"/>
      <c r="F341" s="112"/>
      <c r="N341" s="112"/>
    </row>
    <row r="342">
      <c r="E342" s="112"/>
      <c r="F342" s="112"/>
      <c r="N342" s="112"/>
    </row>
    <row r="343">
      <c r="E343" s="112"/>
      <c r="F343" s="112"/>
      <c r="N343" s="112"/>
    </row>
    <row r="344">
      <c r="E344" s="112"/>
      <c r="F344" s="112"/>
      <c r="N344" s="112"/>
    </row>
    <row r="345">
      <c r="E345" s="112"/>
      <c r="F345" s="112"/>
      <c r="N345" s="112"/>
    </row>
    <row r="346">
      <c r="E346" s="112"/>
      <c r="F346" s="112"/>
      <c r="N346" s="112"/>
    </row>
    <row r="347">
      <c r="E347" s="112"/>
      <c r="F347" s="112"/>
      <c r="N347" s="112"/>
    </row>
    <row r="348">
      <c r="E348" s="112"/>
      <c r="F348" s="112"/>
      <c r="N348" s="112"/>
    </row>
    <row r="349">
      <c r="E349" s="112"/>
      <c r="F349" s="112"/>
      <c r="N349" s="112"/>
    </row>
    <row r="350">
      <c r="E350" s="112"/>
      <c r="F350" s="112"/>
      <c r="N350" s="112"/>
    </row>
    <row r="351">
      <c r="E351" s="112"/>
      <c r="F351" s="112"/>
      <c r="N351" s="112"/>
    </row>
    <row r="352">
      <c r="E352" s="112"/>
      <c r="F352" s="112"/>
      <c r="N352" s="112"/>
    </row>
    <row r="353">
      <c r="E353" s="112"/>
      <c r="F353" s="112"/>
      <c r="N353" s="112"/>
    </row>
    <row r="354">
      <c r="E354" s="112"/>
      <c r="F354" s="112"/>
      <c r="N354" s="112"/>
    </row>
    <row r="355">
      <c r="E355" s="112"/>
      <c r="F355" s="112"/>
      <c r="N355" s="112"/>
    </row>
    <row r="356">
      <c r="E356" s="112"/>
      <c r="F356" s="112"/>
      <c r="N356" s="112"/>
    </row>
    <row r="357">
      <c r="E357" s="112"/>
      <c r="F357" s="112"/>
      <c r="N357" s="112"/>
    </row>
    <row r="358">
      <c r="E358" s="112"/>
      <c r="F358" s="112"/>
      <c r="N358" s="112"/>
    </row>
    <row r="359">
      <c r="E359" s="112"/>
      <c r="F359" s="112"/>
      <c r="N359" s="112"/>
    </row>
    <row r="360">
      <c r="E360" s="112"/>
      <c r="F360" s="112"/>
      <c r="N360" s="112"/>
    </row>
    <row r="361">
      <c r="E361" s="112"/>
      <c r="F361" s="112"/>
      <c r="N361" s="112"/>
    </row>
    <row r="362">
      <c r="E362" s="112"/>
      <c r="F362" s="112"/>
      <c r="N362" s="112"/>
    </row>
    <row r="363">
      <c r="E363" s="112"/>
      <c r="F363" s="112"/>
      <c r="N363" s="112"/>
    </row>
    <row r="364">
      <c r="E364" s="112"/>
      <c r="F364" s="112"/>
      <c r="N364" s="112"/>
    </row>
    <row r="365">
      <c r="E365" s="112"/>
      <c r="F365" s="112"/>
      <c r="N365" s="112"/>
    </row>
    <row r="366">
      <c r="E366" s="112"/>
      <c r="F366" s="112"/>
      <c r="N366" s="112"/>
    </row>
    <row r="367">
      <c r="E367" s="112"/>
      <c r="F367" s="112"/>
      <c r="N367" s="112"/>
    </row>
    <row r="368">
      <c r="E368" s="112"/>
      <c r="F368" s="112"/>
      <c r="N368" s="112"/>
    </row>
    <row r="369">
      <c r="E369" s="112"/>
      <c r="F369" s="112"/>
      <c r="N369" s="112"/>
    </row>
    <row r="370">
      <c r="E370" s="112"/>
      <c r="F370" s="112"/>
      <c r="N370" s="112"/>
    </row>
    <row r="371">
      <c r="E371" s="112"/>
      <c r="F371" s="112"/>
      <c r="N371" s="112"/>
    </row>
    <row r="372">
      <c r="E372" s="112"/>
      <c r="F372" s="112"/>
      <c r="N372" s="112"/>
    </row>
    <row r="373">
      <c r="E373" s="112"/>
      <c r="F373" s="112"/>
      <c r="N373" s="112"/>
    </row>
    <row r="374">
      <c r="E374" s="112"/>
      <c r="F374" s="112"/>
      <c r="N374" s="112"/>
    </row>
    <row r="375">
      <c r="E375" s="112"/>
      <c r="F375" s="112"/>
      <c r="N375" s="112"/>
    </row>
    <row r="376">
      <c r="E376" s="112"/>
      <c r="F376" s="112"/>
      <c r="N376" s="112"/>
    </row>
    <row r="377">
      <c r="E377" s="112"/>
      <c r="F377" s="112"/>
      <c r="N377" s="112"/>
    </row>
    <row r="378">
      <c r="E378" s="112"/>
      <c r="F378" s="112"/>
      <c r="N378" s="112"/>
    </row>
    <row r="379">
      <c r="E379" s="112"/>
      <c r="F379" s="112"/>
      <c r="N379" s="112"/>
    </row>
    <row r="380">
      <c r="E380" s="112"/>
      <c r="F380" s="112"/>
      <c r="N380" s="112"/>
    </row>
    <row r="381">
      <c r="E381" s="112"/>
      <c r="F381" s="112"/>
      <c r="N381" s="112"/>
    </row>
    <row r="382">
      <c r="E382" s="112"/>
      <c r="F382" s="112"/>
      <c r="N382" s="112"/>
    </row>
    <row r="383">
      <c r="E383" s="112"/>
      <c r="F383" s="112"/>
      <c r="N383" s="112"/>
    </row>
    <row r="384">
      <c r="E384" s="112"/>
      <c r="F384" s="112"/>
      <c r="N384" s="112"/>
    </row>
    <row r="385">
      <c r="E385" s="112"/>
      <c r="F385" s="112"/>
      <c r="N385" s="112"/>
    </row>
    <row r="386">
      <c r="E386" s="112"/>
      <c r="F386" s="112"/>
      <c r="N386" s="112"/>
    </row>
    <row r="387">
      <c r="E387" s="112"/>
      <c r="F387" s="112"/>
      <c r="N387" s="112"/>
    </row>
    <row r="388">
      <c r="E388" s="112"/>
      <c r="F388" s="112"/>
      <c r="N388" s="112"/>
    </row>
    <row r="389">
      <c r="E389" s="112"/>
      <c r="F389" s="112"/>
      <c r="N389" s="112"/>
    </row>
    <row r="390">
      <c r="E390" s="112"/>
      <c r="F390" s="112"/>
      <c r="N390" s="112"/>
    </row>
    <row r="391">
      <c r="E391" s="112"/>
      <c r="F391" s="112"/>
      <c r="N391" s="112"/>
    </row>
    <row r="392">
      <c r="E392" s="112"/>
      <c r="F392" s="112"/>
      <c r="N392" s="112"/>
    </row>
    <row r="393">
      <c r="E393" s="112"/>
      <c r="F393" s="112"/>
      <c r="N393" s="112"/>
    </row>
    <row r="394">
      <c r="E394" s="112"/>
      <c r="F394" s="112"/>
      <c r="N394" s="112"/>
    </row>
    <row r="395">
      <c r="E395" s="112"/>
      <c r="F395" s="112"/>
      <c r="N395" s="112"/>
    </row>
    <row r="396">
      <c r="E396" s="112"/>
      <c r="F396" s="112"/>
      <c r="N396" s="112"/>
    </row>
    <row r="397">
      <c r="E397" s="112"/>
      <c r="F397" s="112"/>
      <c r="N397" s="112"/>
    </row>
    <row r="398">
      <c r="E398" s="112"/>
      <c r="F398" s="112"/>
      <c r="N398" s="112"/>
    </row>
    <row r="399">
      <c r="E399" s="112"/>
      <c r="F399" s="112"/>
      <c r="N399" s="112"/>
    </row>
    <row r="400">
      <c r="E400" s="112"/>
      <c r="F400" s="112"/>
      <c r="N400" s="112"/>
    </row>
    <row r="401">
      <c r="E401" s="112"/>
      <c r="F401" s="112"/>
      <c r="N401" s="112"/>
    </row>
    <row r="402">
      <c r="E402" s="112"/>
      <c r="F402" s="112"/>
      <c r="N402" s="112"/>
    </row>
    <row r="403">
      <c r="E403" s="112"/>
      <c r="F403" s="112"/>
      <c r="N403" s="112"/>
    </row>
    <row r="404">
      <c r="E404" s="112"/>
      <c r="F404" s="112"/>
      <c r="N404" s="112"/>
    </row>
    <row r="405">
      <c r="E405" s="112"/>
      <c r="F405" s="112"/>
      <c r="N405" s="112"/>
    </row>
    <row r="406">
      <c r="E406" s="112"/>
      <c r="F406" s="112"/>
      <c r="N406" s="112"/>
    </row>
    <row r="407">
      <c r="E407" s="112"/>
      <c r="F407" s="112"/>
      <c r="N407" s="112"/>
    </row>
    <row r="408">
      <c r="E408" s="112"/>
      <c r="F408" s="112"/>
      <c r="N408" s="112"/>
    </row>
    <row r="409">
      <c r="E409" s="112"/>
      <c r="F409" s="112"/>
      <c r="N409" s="112"/>
    </row>
    <row r="410">
      <c r="E410" s="112"/>
      <c r="F410" s="112"/>
      <c r="N410" s="112"/>
    </row>
    <row r="411">
      <c r="E411" s="112"/>
      <c r="F411" s="112"/>
      <c r="N411" s="112"/>
    </row>
    <row r="412">
      <c r="E412" s="112"/>
      <c r="F412" s="112"/>
      <c r="N412" s="112"/>
    </row>
    <row r="413">
      <c r="E413" s="112"/>
      <c r="F413" s="112"/>
      <c r="N413" s="112"/>
    </row>
    <row r="414">
      <c r="E414" s="112"/>
      <c r="F414" s="112"/>
      <c r="N414" s="112"/>
    </row>
    <row r="415">
      <c r="E415" s="112"/>
      <c r="F415" s="112"/>
      <c r="N415" s="112"/>
    </row>
    <row r="416">
      <c r="E416" s="112"/>
      <c r="F416" s="112"/>
      <c r="N416" s="112"/>
    </row>
    <row r="417">
      <c r="E417" s="112"/>
      <c r="F417" s="112"/>
      <c r="N417" s="112"/>
    </row>
    <row r="418">
      <c r="E418" s="112"/>
      <c r="F418" s="112"/>
      <c r="N418" s="112"/>
    </row>
    <row r="419">
      <c r="E419" s="112"/>
      <c r="F419" s="112"/>
      <c r="N419" s="112"/>
    </row>
    <row r="420">
      <c r="E420" s="112"/>
      <c r="F420" s="112"/>
      <c r="N420" s="112"/>
    </row>
    <row r="421">
      <c r="E421" s="112"/>
      <c r="F421" s="112"/>
      <c r="N421" s="112"/>
    </row>
    <row r="422">
      <c r="E422" s="112"/>
      <c r="F422" s="112"/>
      <c r="N422" s="112"/>
    </row>
    <row r="423">
      <c r="E423" s="112"/>
      <c r="F423" s="112"/>
      <c r="N423" s="112"/>
    </row>
    <row r="424">
      <c r="E424" s="112"/>
      <c r="F424" s="112"/>
      <c r="N424" s="112"/>
    </row>
    <row r="425">
      <c r="E425" s="112"/>
      <c r="F425" s="112"/>
      <c r="N425" s="112"/>
    </row>
    <row r="426">
      <c r="E426" s="112"/>
      <c r="F426" s="112"/>
      <c r="N426" s="112"/>
    </row>
    <row r="427">
      <c r="E427" s="112"/>
      <c r="F427" s="112"/>
      <c r="N427" s="112"/>
    </row>
    <row r="428">
      <c r="E428" s="112"/>
      <c r="F428" s="112"/>
      <c r="N428" s="112"/>
    </row>
    <row r="429">
      <c r="E429" s="112"/>
      <c r="F429" s="112"/>
      <c r="N429" s="112"/>
    </row>
    <row r="430">
      <c r="E430" s="112"/>
      <c r="F430" s="112"/>
      <c r="N430" s="112"/>
    </row>
    <row r="431">
      <c r="E431" s="112"/>
      <c r="F431" s="112"/>
      <c r="N431" s="112"/>
    </row>
    <row r="432">
      <c r="E432" s="112"/>
      <c r="F432" s="112"/>
      <c r="N432" s="112"/>
    </row>
    <row r="433">
      <c r="E433" s="112"/>
      <c r="F433" s="112"/>
      <c r="N433" s="112"/>
    </row>
    <row r="434">
      <c r="E434" s="112"/>
      <c r="F434" s="112"/>
      <c r="N434" s="112"/>
    </row>
    <row r="435">
      <c r="E435" s="112"/>
      <c r="F435" s="112"/>
      <c r="N435" s="112"/>
    </row>
    <row r="436">
      <c r="E436" s="112"/>
      <c r="F436" s="112"/>
      <c r="N436" s="112"/>
    </row>
    <row r="437">
      <c r="E437" s="112"/>
      <c r="F437" s="112"/>
      <c r="N437" s="112"/>
    </row>
    <row r="438">
      <c r="E438" s="112"/>
      <c r="F438" s="112"/>
      <c r="N438" s="112"/>
    </row>
    <row r="439">
      <c r="E439" s="112"/>
      <c r="F439" s="112"/>
      <c r="N439" s="112"/>
    </row>
    <row r="440">
      <c r="E440" s="112"/>
      <c r="F440" s="112"/>
      <c r="N440" s="112"/>
    </row>
    <row r="441">
      <c r="E441" s="112"/>
      <c r="F441" s="112"/>
      <c r="N441" s="112"/>
    </row>
    <row r="442">
      <c r="E442" s="112"/>
      <c r="F442" s="112"/>
      <c r="N442" s="112"/>
    </row>
    <row r="443">
      <c r="E443" s="112"/>
      <c r="F443" s="112"/>
      <c r="N443" s="112"/>
    </row>
    <row r="444">
      <c r="E444" s="112"/>
      <c r="F444" s="112"/>
      <c r="N444" s="112"/>
    </row>
    <row r="445">
      <c r="E445" s="112"/>
      <c r="F445" s="112"/>
      <c r="N445" s="112"/>
    </row>
    <row r="446">
      <c r="E446" s="112"/>
      <c r="F446" s="112"/>
      <c r="N446" s="112"/>
    </row>
    <row r="447">
      <c r="E447" s="112"/>
      <c r="F447" s="112"/>
      <c r="N447" s="112"/>
    </row>
    <row r="448">
      <c r="E448" s="112"/>
      <c r="F448" s="112"/>
      <c r="N448" s="112"/>
    </row>
    <row r="449">
      <c r="E449" s="112"/>
      <c r="F449" s="112"/>
      <c r="N449" s="112"/>
    </row>
    <row r="450">
      <c r="E450" s="112"/>
      <c r="F450" s="112"/>
      <c r="N450" s="112"/>
    </row>
    <row r="451">
      <c r="E451" s="112"/>
      <c r="F451" s="112"/>
      <c r="N451" s="112"/>
    </row>
    <row r="452">
      <c r="E452" s="112"/>
      <c r="F452" s="112"/>
      <c r="N452" s="112"/>
    </row>
    <row r="453">
      <c r="E453" s="112"/>
      <c r="F453" s="112"/>
      <c r="N453" s="112"/>
    </row>
    <row r="454">
      <c r="E454" s="112"/>
      <c r="F454" s="112"/>
      <c r="N454" s="112"/>
    </row>
    <row r="455">
      <c r="E455" s="112"/>
      <c r="F455" s="112"/>
      <c r="N455" s="112"/>
    </row>
    <row r="456">
      <c r="E456" s="112"/>
      <c r="F456" s="112"/>
      <c r="N456" s="112"/>
    </row>
    <row r="457">
      <c r="E457" s="112"/>
      <c r="F457" s="112"/>
      <c r="N457" s="112"/>
    </row>
    <row r="458">
      <c r="E458" s="112"/>
      <c r="F458" s="112"/>
      <c r="N458" s="112"/>
    </row>
    <row r="459">
      <c r="E459" s="112"/>
      <c r="F459" s="112"/>
      <c r="N459" s="112"/>
    </row>
    <row r="460">
      <c r="E460" s="112"/>
      <c r="F460" s="112"/>
      <c r="N460" s="112"/>
    </row>
    <row r="461">
      <c r="E461" s="112"/>
      <c r="F461" s="112"/>
      <c r="N461" s="112"/>
    </row>
    <row r="462">
      <c r="E462" s="112"/>
      <c r="F462" s="112"/>
      <c r="N462" s="112"/>
    </row>
    <row r="463">
      <c r="E463" s="112"/>
      <c r="F463" s="112"/>
      <c r="N463" s="112"/>
    </row>
    <row r="464">
      <c r="E464" s="112"/>
      <c r="F464" s="112"/>
      <c r="N464" s="112"/>
    </row>
    <row r="465">
      <c r="E465" s="112"/>
      <c r="F465" s="112"/>
      <c r="N465" s="112"/>
    </row>
    <row r="466">
      <c r="E466" s="112"/>
      <c r="F466" s="112"/>
      <c r="N466" s="112"/>
    </row>
    <row r="467">
      <c r="E467" s="112"/>
      <c r="F467" s="112"/>
      <c r="N467" s="112"/>
    </row>
    <row r="468">
      <c r="E468" s="112"/>
      <c r="F468" s="112"/>
      <c r="N468" s="112"/>
    </row>
    <row r="469">
      <c r="E469" s="112"/>
      <c r="F469" s="112"/>
      <c r="N469" s="112"/>
    </row>
    <row r="470">
      <c r="E470" s="112"/>
      <c r="F470" s="112"/>
      <c r="N470" s="112"/>
    </row>
    <row r="471">
      <c r="E471" s="112"/>
      <c r="F471" s="112"/>
      <c r="N471" s="112"/>
    </row>
    <row r="472">
      <c r="E472" s="112"/>
      <c r="F472" s="112"/>
      <c r="N472" s="112"/>
    </row>
    <row r="473">
      <c r="E473" s="112"/>
      <c r="F473" s="112"/>
      <c r="N473" s="112"/>
    </row>
    <row r="474">
      <c r="E474" s="112"/>
      <c r="F474" s="112"/>
      <c r="N474" s="112"/>
    </row>
    <row r="475">
      <c r="E475" s="112"/>
      <c r="F475" s="112"/>
      <c r="N475" s="112"/>
    </row>
    <row r="476">
      <c r="E476" s="112"/>
      <c r="F476" s="112"/>
      <c r="N476" s="112"/>
    </row>
    <row r="477">
      <c r="E477" s="112"/>
      <c r="F477" s="112"/>
      <c r="N477" s="112"/>
    </row>
    <row r="478">
      <c r="E478" s="112"/>
      <c r="F478" s="112"/>
      <c r="N478" s="112"/>
    </row>
    <row r="479">
      <c r="E479" s="112"/>
      <c r="F479" s="112"/>
      <c r="N479" s="112"/>
    </row>
    <row r="480">
      <c r="E480" s="112"/>
      <c r="F480" s="112"/>
      <c r="N480" s="112"/>
    </row>
    <row r="481">
      <c r="E481" s="112"/>
      <c r="F481" s="112"/>
      <c r="N481" s="112"/>
    </row>
    <row r="482">
      <c r="E482" s="112"/>
      <c r="F482" s="112"/>
      <c r="N482" s="112"/>
    </row>
    <row r="483">
      <c r="E483" s="112"/>
      <c r="F483" s="112"/>
      <c r="N483" s="112"/>
    </row>
    <row r="484">
      <c r="E484" s="112"/>
      <c r="F484" s="112"/>
      <c r="N484" s="112"/>
    </row>
    <row r="485">
      <c r="E485" s="112"/>
      <c r="F485" s="112"/>
      <c r="N485" s="112"/>
    </row>
    <row r="486">
      <c r="E486" s="112"/>
      <c r="F486" s="112"/>
      <c r="N486" s="112"/>
    </row>
    <row r="487">
      <c r="E487" s="112"/>
      <c r="F487" s="112"/>
      <c r="N487" s="112"/>
    </row>
    <row r="488">
      <c r="E488" s="112"/>
      <c r="F488" s="112"/>
      <c r="N488" s="112"/>
    </row>
    <row r="489">
      <c r="E489" s="112"/>
      <c r="F489" s="112"/>
      <c r="N489" s="112"/>
    </row>
    <row r="490">
      <c r="E490" s="112"/>
      <c r="F490" s="112"/>
      <c r="N490" s="112"/>
    </row>
    <row r="491">
      <c r="E491" s="112"/>
      <c r="F491" s="112"/>
      <c r="N491" s="112"/>
    </row>
    <row r="492">
      <c r="E492" s="112"/>
      <c r="F492" s="112"/>
      <c r="N492" s="112"/>
    </row>
    <row r="493">
      <c r="E493" s="112"/>
      <c r="F493" s="112"/>
      <c r="N493" s="112"/>
    </row>
    <row r="494">
      <c r="E494" s="112"/>
      <c r="F494" s="112"/>
      <c r="N494" s="112"/>
    </row>
    <row r="495">
      <c r="E495" s="112"/>
      <c r="F495" s="112"/>
      <c r="N495" s="112"/>
    </row>
    <row r="496">
      <c r="E496" s="112"/>
      <c r="F496" s="112"/>
      <c r="N496" s="112"/>
    </row>
    <row r="497">
      <c r="E497" s="112"/>
      <c r="F497" s="112"/>
      <c r="N497" s="112"/>
    </row>
    <row r="498">
      <c r="E498" s="112"/>
      <c r="F498" s="112"/>
      <c r="N498" s="112"/>
    </row>
    <row r="499">
      <c r="E499" s="112"/>
      <c r="F499" s="112"/>
      <c r="N499" s="112"/>
    </row>
    <row r="500">
      <c r="E500" s="112"/>
      <c r="F500" s="112"/>
      <c r="N500" s="112"/>
    </row>
    <row r="501">
      <c r="E501" s="112"/>
      <c r="F501" s="112"/>
      <c r="N501" s="112"/>
    </row>
    <row r="502">
      <c r="E502" s="112"/>
      <c r="F502" s="112"/>
      <c r="N502" s="112"/>
    </row>
    <row r="503">
      <c r="E503" s="112"/>
      <c r="F503" s="112"/>
      <c r="N503" s="112"/>
    </row>
    <row r="504">
      <c r="E504" s="112"/>
      <c r="F504" s="112"/>
      <c r="N504" s="112"/>
    </row>
    <row r="505">
      <c r="E505" s="112"/>
      <c r="F505" s="112"/>
      <c r="N505" s="112"/>
    </row>
    <row r="506">
      <c r="E506" s="112"/>
      <c r="F506" s="112"/>
      <c r="N506" s="112"/>
    </row>
    <row r="507">
      <c r="E507" s="112"/>
      <c r="F507" s="112"/>
      <c r="N507" s="112"/>
    </row>
    <row r="508">
      <c r="E508" s="112"/>
      <c r="F508" s="112"/>
      <c r="N508" s="112"/>
    </row>
    <row r="509">
      <c r="E509" s="112"/>
      <c r="F509" s="112"/>
      <c r="N509" s="112"/>
    </row>
    <row r="510">
      <c r="E510" s="112"/>
      <c r="F510" s="112"/>
      <c r="N510" s="112"/>
    </row>
    <row r="511">
      <c r="E511" s="112"/>
      <c r="F511" s="112"/>
      <c r="N511" s="112"/>
    </row>
    <row r="512">
      <c r="E512" s="112"/>
      <c r="F512" s="112"/>
      <c r="N512" s="112"/>
    </row>
    <row r="513">
      <c r="E513" s="112"/>
      <c r="F513" s="112"/>
      <c r="N513" s="112"/>
    </row>
    <row r="514">
      <c r="E514" s="112"/>
      <c r="F514" s="112"/>
      <c r="N514" s="112"/>
    </row>
    <row r="515">
      <c r="E515" s="112"/>
      <c r="F515" s="112"/>
      <c r="N515" s="112"/>
    </row>
    <row r="516">
      <c r="E516" s="112"/>
      <c r="F516" s="112"/>
      <c r="N516" s="112"/>
    </row>
    <row r="517">
      <c r="E517" s="112"/>
      <c r="F517" s="112"/>
      <c r="N517" s="112"/>
    </row>
    <row r="518">
      <c r="E518" s="112"/>
      <c r="F518" s="112"/>
      <c r="N518" s="112"/>
    </row>
    <row r="519">
      <c r="E519" s="112"/>
      <c r="F519" s="112"/>
      <c r="N519" s="112"/>
    </row>
    <row r="520">
      <c r="E520" s="112"/>
      <c r="F520" s="112"/>
      <c r="N520" s="112"/>
    </row>
    <row r="521">
      <c r="E521" s="112"/>
      <c r="F521" s="112"/>
      <c r="N521" s="112"/>
    </row>
    <row r="522">
      <c r="E522" s="112"/>
      <c r="F522" s="112"/>
      <c r="N522" s="112"/>
    </row>
    <row r="523">
      <c r="E523" s="112"/>
      <c r="F523" s="112"/>
      <c r="N523" s="112"/>
    </row>
    <row r="524">
      <c r="E524" s="112"/>
      <c r="F524" s="112"/>
      <c r="N524" s="112"/>
    </row>
    <row r="525">
      <c r="E525" s="112"/>
      <c r="F525" s="112"/>
      <c r="N525" s="112"/>
    </row>
    <row r="526">
      <c r="E526" s="112"/>
      <c r="F526" s="112"/>
      <c r="N526" s="112"/>
    </row>
    <row r="527">
      <c r="E527" s="112"/>
      <c r="F527" s="112"/>
      <c r="N527" s="112"/>
    </row>
    <row r="528">
      <c r="E528" s="112"/>
      <c r="F528" s="112"/>
      <c r="N528" s="112"/>
    </row>
    <row r="529">
      <c r="E529" s="112"/>
      <c r="F529" s="112"/>
      <c r="N529" s="112"/>
    </row>
    <row r="530">
      <c r="E530" s="112"/>
      <c r="F530" s="112"/>
      <c r="N530" s="112"/>
    </row>
    <row r="531">
      <c r="E531" s="112"/>
      <c r="F531" s="112"/>
      <c r="N531" s="112"/>
    </row>
    <row r="532">
      <c r="E532" s="112"/>
      <c r="F532" s="112"/>
      <c r="N532" s="112"/>
    </row>
    <row r="533">
      <c r="E533" s="112"/>
      <c r="F533" s="112"/>
      <c r="N533" s="112"/>
    </row>
    <row r="534">
      <c r="E534" s="112"/>
      <c r="F534" s="112"/>
      <c r="N534" s="112"/>
    </row>
    <row r="535">
      <c r="E535" s="112"/>
      <c r="F535" s="112"/>
      <c r="N535" s="112"/>
    </row>
    <row r="536">
      <c r="E536" s="112"/>
      <c r="F536" s="112"/>
      <c r="N536" s="112"/>
    </row>
    <row r="537">
      <c r="E537" s="112"/>
      <c r="F537" s="112"/>
      <c r="N537" s="112"/>
    </row>
    <row r="538">
      <c r="E538" s="112"/>
      <c r="F538" s="112"/>
      <c r="N538" s="112"/>
    </row>
    <row r="539">
      <c r="E539" s="112"/>
      <c r="F539" s="112"/>
      <c r="N539" s="112"/>
    </row>
    <row r="540">
      <c r="E540" s="112"/>
      <c r="F540" s="112"/>
      <c r="N540" s="112"/>
    </row>
    <row r="541">
      <c r="E541" s="112"/>
      <c r="F541" s="112"/>
      <c r="N541" s="112"/>
    </row>
    <row r="542">
      <c r="E542" s="112"/>
      <c r="F542" s="112"/>
      <c r="N542" s="112"/>
    </row>
    <row r="543">
      <c r="E543" s="112"/>
      <c r="F543" s="112"/>
      <c r="N543" s="112"/>
    </row>
    <row r="544">
      <c r="E544" s="112"/>
      <c r="F544" s="112"/>
      <c r="N544" s="112"/>
    </row>
    <row r="545">
      <c r="E545" s="112"/>
      <c r="F545" s="112"/>
      <c r="N545" s="112"/>
    </row>
    <row r="546">
      <c r="E546" s="112"/>
      <c r="F546" s="112"/>
      <c r="N546" s="112"/>
    </row>
    <row r="547">
      <c r="E547" s="112"/>
      <c r="F547" s="112"/>
      <c r="N547" s="112"/>
    </row>
    <row r="548">
      <c r="E548" s="112"/>
      <c r="F548" s="112"/>
      <c r="N548" s="112"/>
    </row>
    <row r="549">
      <c r="E549" s="112"/>
      <c r="F549" s="112"/>
      <c r="N549" s="112"/>
    </row>
    <row r="550">
      <c r="E550" s="112"/>
      <c r="F550" s="112"/>
      <c r="N550" s="112"/>
    </row>
    <row r="551">
      <c r="E551" s="112"/>
      <c r="F551" s="112"/>
      <c r="N551" s="112"/>
    </row>
    <row r="552">
      <c r="E552" s="112"/>
      <c r="F552" s="112"/>
      <c r="N552" s="112"/>
    </row>
    <row r="553">
      <c r="E553" s="112"/>
      <c r="F553" s="112"/>
      <c r="N553" s="112"/>
    </row>
    <row r="554">
      <c r="E554" s="112"/>
      <c r="F554" s="112"/>
      <c r="N554" s="112"/>
    </row>
    <row r="555">
      <c r="E555" s="112"/>
      <c r="F555" s="112"/>
      <c r="N555" s="112"/>
    </row>
    <row r="556">
      <c r="E556" s="112"/>
      <c r="F556" s="112"/>
      <c r="N556" s="112"/>
    </row>
    <row r="557">
      <c r="E557" s="112"/>
      <c r="F557" s="112"/>
      <c r="N557" s="112"/>
    </row>
    <row r="558">
      <c r="E558" s="112"/>
      <c r="F558" s="112"/>
      <c r="N558" s="112"/>
    </row>
    <row r="559">
      <c r="E559" s="112"/>
      <c r="F559" s="112"/>
      <c r="N559" s="112"/>
    </row>
    <row r="560">
      <c r="E560" s="112"/>
      <c r="F560" s="112"/>
      <c r="N560" s="112"/>
    </row>
    <row r="561">
      <c r="E561" s="112"/>
      <c r="F561" s="112"/>
      <c r="N561" s="112"/>
    </row>
    <row r="562">
      <c r="E562" s="112"/>
      <c r="F562" s="112"/>
      <c r="N562" s="112"/>
    </row>
    <row r="563">
      <c r="E563" s="112"/>
      <c r="F563" s="112"/>
      <c r="N563" s="112"/>
    </row>
    <row r="564">
      <c r="E564" s="112"/>
      <c r="F564" s="112"/>
      <c r="N564" s="112"/>
    </row>
    <row r="565">
      <c r="E565" s="112"/>
      <c r="F565" s="112"/>
      <c r="N565" s="112"/>
    </row>
    <row r="566">
      <c r="E566" s="112"/>
      <c r="F566" s="112"/>
      <c r="N566" s="112"/>
    </row>
    <row r="567">
      <c r="E567" s="112"/>
      <c r="F567" s="112"/>
      <c r="N567" s="112"/>
    </row>
    <row r="568">
      <c r="E568" s="112"/>
      <c r="F568" s="112"/>
      <c r="N568" s="112"/>
    </row>
    <row r="569">
      <c r="E569" s="112"/>
      <c r="F569" s="112"/>
      <c r="N569" s="112"/>
    </row>
    <row r="570">
      <c r="E570" s="112"/>
      <c r="F570" s="112"/>
      <c r="N570" s="112"/>
    </row>
    <row r="571">
      <c r="E571" s="112"/>
      <c r="F571" s="112"/>
      <c r="N571" s="112"/>
    </row>
    <row r="572">
      <c r="E572" s="112"/>
      <c r="F572" s="112"/>
      <c r="N572" s="112"/>
    </row>
    <row r="573">
      <c r="E573" s="112"/>
      <c r="F573" s="112"/>
      <c r="N573" s="112"/>
    </row>
    <row r="574">
      <c r="E574" s="112"/>
      <c r="F574" s="112"/>
      <c r="N574" s="112"/>
    </row>
    <row r="575">
      <c r="E575" s="112"/>
      <c r="F575" s="112"/>
      <c r="N575" s="112"/>
    </row>
    <row r="576">
      <c r="E576" s="112"/>
      <c r="F576" s="112"/>
      <c r="N576" s="112"/>
    </row>
    <row r="577">
      <c r="E577" s="112"/>
      <c r="F577" s="112"/>
      <c r="N577" s="112"/>
    </row>
    <row r="578">
      <c r="E578" s="112"/>
      <c r="F578" s="112"/>
      <c r="N578" s="112"/>
    </row>
    <row r="579">
      <c r="E579" s="112"/>
      <c r="F579" s="112"/>
      <c r="N579" s="112"/>
    </row>
    <row r="580">
      <c r="E580" s="112"/>
      <c r="F580" s="112"/>
      <c r="N580" s="112"/>
    </row>
    <row r="581">
      <c r="E581" s="112"/>
      <c r="F581" s="112"/>
      <c r="N581" s="112"/>
    </row>
    <row r="582">
      <c r="E582" s="112"/>
      <c r="F582" s="112"/>
      <c r="N582" s="112"/>
    </row>
    <row r="583">
      <c r="E583" s="112"/>
      <c r="F583" s="112"/>
      <c r="N583" s="112"/>
    </row>
    <row r="584">
      <c r="E584" s="112"/>
      <c r="F584" s="112"/>
      <c r="N584" s="112"/>
    </row>
    <row r="585">
      <c r="E585" s="112"/>
      <c r="F585" s="112"/>
      <c r="N585" s="112"/>
    </row>
    <row r="586">
      <c r="E586" s="112"/>
      <c r="F586" s="112"/>
      <c r="N586" s="112"/>
    </row>
    <row r="587">
      <c r="E587" s="112"/>
      <c r="F587" s="112"/>
      <c r="N587" s="112"/>
    </row>
    <row r="588">
      <c r="E588" s="112"/>
      <c r="F588" s="112"/>
      <c r="N588" s="112"/>
    </row>
    <row r="589">
      <c r="E589" s="112"/>
      <c r="F589" s="112"/>
      <c r="N589" s="112"/>
    </row>
    <row r="590">
      <c r="E590" s="112"/>
      <c r="F590" s="112"/>
      <c r="N590" s="112"/>
    </row>
    <row r="591">
      <c r="E591" s="112"/>
      <c r="F591" s="112"/>
      <c r="N591" s="112"/>
    </row>
    <row r="592">
      <c r="E592" s="112"/>
      <c r="F592" s="112"/>
      <c r="N592" s="112"/>
    </row>
    <row r="593">
      <c r="E593" s="112"/>
      <c r="F593" s="112"/>
      <c r="N593" s="112"/>
    </row>
    <row r="594">
      <c r="E594" s="112"/>
      <c r="F594" s="112"/>
      <c r="N594" s="112"/>
    </row>
    <row r="595">
      <c r="E595" s="112"/>
      <c r="F595" s="112"/>
      <c r="N595" s="112"/>
    </row>
    <row r="596">
      <c r="E596" s="112"/>
      <c r="F596" s="112"/>
      <c r="N596" s="112"/>
    </row>
    <row r="597">
      <c r="E597" s="112"/>
      <c r="F597" s="112"/>
      <c r="N597" s="112"/>
    </row>
    <row r="598">
      <c r="E598" s="112"/>
      <c r="F598" s="112"/>
      <c r="N598" s="112"/>
    </row>
    <row r="599">
      <c r="E599" s="112"/>
      <c r="F599" s="112"/>
      <c r="N599" s="112"/>
    </row>
    <row r="600">
      <c r="E600" s="112"/>
      <c r="F600" s="112"/>
      <c r="N600" s="112"/>
    </row>
    <row r="601">
      <c r="E601" s="112"/>
      <c r="F601" s="112"/>
      <c r="N601" s="112"/>
    </row>
    <row r="602">
      <c r="E602" s="112"/>
      <c r="F602" s="112"/>
      <c r="N602" s="112"/>
    </row>
    <row r="603">
      <c r="E603" s="112"/>
      <c r="F603" s="112"/>
      <c r="N603" s="112"/>
    </row>
    <row r="604">
      <c r="E604" s="112"/>
      <c r="F604" s="112"/>
      <c r="N604" s="112"/>
    </row>
    <row r="605">
      <c r="E605" s="112"/>
      <c r="F605" s="112"/>
      <c r="N605" s="112"/>
    </row>
    <row r="606">
      <c r="E606" s="112"/>
      <c r="F606" s="112"/>
      <c r="N606" s="112"/>
    </row>
    <row r="607">
      <c r="E607" s="112"/>
      <c r="F607" s="112"/>
      <c r="N607" s="112"/>
    </row>
    <row r="608">
      <c r="E608" s="112"/>
      <c r="F608" s="112"/>
      <c r="N608" s="112"/>
    </row>
    <row r="609">
      <c r="E609" s="112"/>
      <c r="F609" s="112"/>
      <c r="N609" s="112"/>
    </row>
    <row r="610">
      <c r="E610" s="112"/>
      <c r="F610" s="112"/>
      <c r="N610" s="112"/>
    </row>
    <row r="611">
      <c r="E611" s="112"/>
      <c r="F611" s="112"/>
      <c r="N611" s="112"/>
    </row>
    <row r="612">
      <c r="E612" s="112"/>
      <c r="F612" s="112"/>
      <c r="N612" s="112"/>
    </row>
    <row r="613">
      <c r="E613" s="112"/>
      <c r="F613" s="112"/>
      <c r="N613" s="112"/>
    </row>
    <row r="614">
      <c r="E614" s="112"/>
      <c r="F614" s="112"/>
      <c r="N614" s="112"/>
    </row>
    <row r="615">
      <c r="E615" s="112"/>
      <c r="F615" s="112"/>
      <c r="N615" s="112"/>
    </row>
    <row r="616">
      <c r="E616" s="112"/>
      <c r="F616" s="112"/>
      <c r="N616" s="112"/>
    </row>
    <row r="617">
      <c r="E617" s="112"/>
      <c r="F617" s="112"/>
      <c r="N617" s="112"/>
    </row>
    <row r="618">
      <c r="E618" s="112"/>
      <c r="F618" s="112"/>
      <c r="N618" s="112"/>
    </row>
    <row r="619">
      <c r="E619" s="112"/>
      <c r="F619" s="112"/>
      <c r="N619" s="112"/>
    </row>
    <row r="620">
      <c r="E620" s="112"/>
      <c r="F620" s="112"/>
      <c r="N620" s="112"/>
    </row>
    <row r="621">
      <c r="E621" s="112"/>
      <c r="F621" s="112"/>
      <c r="N621" s="112"/>
    </row>
    <row r="622">
      <c r="E622" s="112"/>
      <c r="F622" s="112"/>
      <c r="N622" s="112"/>
    </row>
    <row r="623">
      <c r="E623" s="112"/>
      <c r="F623" s="112"/>
      <c r="N623" s="112"/>
    </row>
    <row r="624">
      <c r="E624" s="112"/>
      <c r="F624" s="112"/>
      <c r="N624" s="112"/>
    </row>
    <row r="625">
      <c r="E625" s="112"/>
      <c r="F625" s="112"/>
      <c r="N625" s="112"/>
    </row>
    <row r="626">
      <c r="E626" s="112"/>
      <c r="F626" s="112"/>
      <c r="N626" s="112"/>
    </row>
    <row r="627">
      <c r="E627" s="112"/>
      <c r="F627" s="112"/>
      <c r="N627" s="112"/>
    </row>
    <row r="628">
      <c r="E628" s="112"/>
      <c r="F628" s="112"/>
      <c r="N628" s="112"/>
    </row>
    <row r="629">
      <c r="E629" s="112"/>
      <c r="F629" s="112"/>
      <c r="N629" s="112"/>
    </row>
    <row r="630">
      <c r="E630" s="112"/>
      <c r="F630" s="112"/>
      <c r="N630" s="112"/>
    </row>
    <row r="631">
      <c r="E631" s="112"/>
      <c r="F631" s="112"/>
      <c r="N631" s="112"/>
    </row>
    <row r="632">
      <c r="E632" s="112"/>
      <c r="F632" s="112"/>
      <c r="N632" s="112"/>
    </row>
    <row r="633">
      <c r="E633" s="112"/>
      <c r="F633" s="112"/>
      <c r="N633" s="112"/>
    </row>
    <row r="634">
      <c r="E634" s="112"/>
      <c r="F634" s="112"/>
      <c r="N634" s="112"/>
    </row>
    <row r="635">
      <c r="E635" s="112"/>
      <c r="F635" s="112"/>
      <c r="N635" s="112"/>
    </row>
    <row r="636">
      <c r="E636" s="112"/>
      <c r="F636" s="112"/>
      <c r="N636" s="112"/>
    </row>
    <row r="637">
      <c r="E637" s="112"/>
      <c r="F637" s="112"/>
      <c r="N637" s="112"/>
    </row>
    <row r="638">
      <c r="E638" s="112"/>
      <c r="F638" s="112"/>
      <c r="N638" s="112"/>
    </row>
    <row r="639">
      <c r="E639" s="112"/>
      <c r="F639" s="112"/>
      <c r="N639" s="112"/>
    </row>
    <row r="640">
      <c r="E640" s="112"/>
      <c r="F640" s="112"/>
      <c r="N640" s="112"/>
    </row>
    <row r="641">
      <c r="E641" s="112"/>
      <c r="F641" s="112"/>
      <c r="N641" s="112"/>
    </row>
    <row r="642">
      <c r="E642" s="112"/>
      <c r="F642" s="112"/>
      <c r="N642" s="112"/>
    </row>
    <row r="643">
      <c r="E643" s="112"/>
      <c r="F643" s="112"/>
      <c r="N643" s="112"/>
    </row>
    <row r="644">
      <c r="E644" s="112"/>
      <c r="F644" s="112"/>
      <c r="N644" s="112"/>
    </row>
    <row r="645">
      <c r="E645" s="112"/>
      <c r="F645" s="112"/>
      <c r="N645" s="112"/>
    </row>
    <row r="646">
      <c r="E646" s="112"/>
      <c r="F646" s="112"/>
      <c r="N646" s="112"/>
    </row>
    <row r="647">
      <c r="E647" s="112"/>
      <c r="F647" s="112"/>
      <c r="N647" s="112"/>
    </row>
    <row r="648">
      <c r="E648" s="112"/>
      <c r="F648" s="112"/>
      <c r="N648" s="112"/>
    </row>
    <row r="649">
      <c r="E649" s="112"/>
      <c r="F649" s="112"/>
      <c r="N649" s="112"/>
    </row>
    <row r="650">
      <c r="E650" s="112"/>
      <c r="F650" s="112"/>
      <c r="N650" s="112"/>
    </row>
    <row r="651">
      <c r="E651" s="112"/>
      <c r="F651" s="112"/>
      <c r="N651" s="112"/>
    </row>
    <row r="652">
      <c r="E652" s="112"/>
      <c r="F652" s="112"/>
      <c r="N652" s="112"/>
    </row>
    <row r="653">
      <c r="E653" s="112"/>
      <c r="F653" s="112"/>
      <c r="N653" s="112"/>
    </row>
    <row r="654">
      <c r="E654" s="112"/>
      <c r="F654" s="112"/>
      <c r="N654" s="112"/>
    </row>
    <row r="655">
      <c r="E655" s="112"/>
      <c r="F655" s="112"/>
      <c r="N655" s="112"/>
    </row>
    <row r="656">
      <c r="E656" s="112"/>
      <c r="F656" s="112"/>
      <c r="N656" s="112"/>
    </row>
    <row r="657">
      <c r="E657" s="112"/>
      <c r="F657" s="112"/>
      <c r="N657" s="112"/>
    </row>
    <row r="658">
      <c r="E658" s="112"/>
      <c r="F658" s="112"/>
      <c r="N658" s="112"/>
    </row>
    <row r="659">
      <c r="E659" s="112"/>
      <c r="F659" s="112"/>
      <c r="N659" s="112"/>
    </row>
    <row r="660">
      <c r="E660" s="112"/>
      <c r="F660" s="112"/>
      <c r="N660" s="112"/>
    </row>
    <row r="661">
      <c r="E661" s="112"/>
      <c r="F661" s="112"/>
      <c r="N661" s="112"/>
    </row>
    <row r="662">
      <c r="E662" s="112"/>
      <c r="F662" s="112"/>
      <c r="N662" s="112"/>
    </row>
    <row r="663">
      <c r="E663" s="112"/>
      <c r="F663" s="112"/>
      <c r="N663" s="112"/>
    </row>
    <row r="664">
      <c r="E664" s="112"/>
      <c r="F664" s="112"/>
      <c r="N664" s="112"/>
    </row>
    <row r="665">
      <c r="E665" s="112"/>
      <c r="F665" s="112"/>
      <c r="N665" s="112"/>
    </row>
    <row r="666">
      <c r="E666" s="112"/>
      <c r="F666" s="112"/>
      <c r="N666" s="112"/>
    </row>
    <row r="667">
      <c r="E667" s="112"/>
      <c r="F667" s="112"/>
      <c r="N667" s="112"/>
    </row>
    <row r="668">
      <c r="E668" s="112"/>
      <c r="F668" s="112"/>
      <c r="N668" s="112"/>
    </row>
    <row r="669">
      <c r="E669" s="112"/>
      <c r="F669" s="112"/>
      <c r="N669" s="112"/>
    </row>
    <row r="670">
      <c r="E670" s="112"/>
      <c r="F670" s="112"/>
      <c r="N670" s="112"/>
    </row>
    <row r="671">
      <c r="E671" s="112"/>
      <c r="F671" s="112"/>
      <c r="N671" s="112"/>
    </row>
    <row r="672">
      <c r="E672" s="112"/>
      <c r="F672" s="112"/>
      <c r="N672" s="112"/>
    </row>
    <row r="673">
      <c r="E673" s="112"/>
      <c r="F673" s="112"/>
      <c r="N673" s="112"/>
    </row>
    <row r="674">
      <c r="E674" s="112"/>
      <c r="F674" s="112"/>
      <c r="N674" s="112"/>
    </row>
    <row r="675">
      <c r="E675" s="112"/>
      <c r="F675" s="112"/>
      <c r="N675" s="112"/>
    </row>
    <row r="676">
      <c r="E676" s="112"/>
      <c r="F676" s="112"/>
      <c r="N676" s="112"/>
    </row>
    <row r="677">
      <c r="E677" s="112"/>
      <c r="F677" s="112"/>
      <c r="N677" s="112"/>
    </row>
    <row r="678">
      <c r="E678" s="112"/>
      <c r="F678" s="112"/>
      <c r="N678" s="112"/>
    </row>
    <row r="679">
      <c r="E679" s="112"/>
      <c r="F679" s="112"/>
      <c r="N679" s="112"/>
    </row>
    <row r="680">
      <c r="E680" s="112"/>
      <c r="F680" s="112"/>
      <c r="N680" s="112"/>
    </row>
    <row r="681">
      <c r="E681" s="112"/>
      <c r="F681" s="112"/>
      <c r="N681" s="112"/>
    </row>
    <row r="682">
      <c r="E682" s="112"/>
      <c r="F682" s="112"/>
      <c r="N682" s="112"/>
    </row>
    <row r="683">
      <c r="E683" s="112"/>
      <c r="F683" s="112"/>
      <c r="N683" s="112"/>
    </row>
    <row r="684">
      <c r="E684" s="112"/>
      <c r="F684" s="112"/>
      <c r="N684" s="112"/>
    </row>
    <row r="685">
      <c r="E685" s="112"/>
      <c r="F685" s="112"/>
      <c r="N685" s="112"/>
    </row>
    <row r="686">
      <c r="E686" s="112"/>
      <c r="F686" s="112"/>
      <c r="N686" s="112"/>
    </row>
    <row r="687">
      <c r="E687" s="112"/>
      <c r="F687" s="112"/>
      <c r="N687" s="112"/>
    </row>
    <row r="688">
      <c r="E688" s="112"/>
      <c r="F688" s="112"/>
      <c r="N688" s="112"/>
    </row>
    <row r="689">
      <c r="E689" s="112"/>
      <c r="F689" s="112"/>
      <c r="N689" s="112"/>
    </row>
    <row r="690">
      <c r="E690" s="112"/>
      <c r="F690" s="112"/>
      <c r="N690" s="112"/>
    </row>
    <row r="691">
      <c r="E691" s="112"/>
      <c r="F691" s="112"/>
      <c r="N691" s="112"/>
    </row>
    <row r="692">
      <c r="E692" s="112"/>
      <c r="F692" s="112"/>
      <c r="N692" s="112"/>
    </row>
    <row r="693">
      <c r="E693" s="112"/>
      <c r="F693" s="112"/>
      <c r="N693" s="112"/>
    </row>
    <row r="694">
      <c r="E694" s="112"/>
      <c r="F694" s="112"/>
      <c r="N694" s="112"/>
    </row>
    <row r="695">
      <c r="E695" s="112"/>
      <c r="F695" s="112"/>
      <c r="N695" s="112"/>
    </row>
    <row r="696">
      <c r="E696" s="112"/>
      <c r="F696" s="112"/>
      <c r="N696" s="112"/>
    </row>
    <row r="697">
      <c r="E697" s="112"/>
      <c r="F697" s="112"/>
      <c r="N697" s="112"/>
    </row>
    <row r="698">
      <c r="E698" s="112"/>
      <c r="F698" s="112"/>
      <c r="N698" s="112"/>
    </row>
    <row r="699">
      <c r="E699" s="112"/>
      <c r="F699" s="112"/>
      <c r="N699" s="112"/>
    </row>
    <row r="700">
      <c r="E700" s="112"/>
      <c r="F700" s="112"/>
      <c r="N700" s="112"/>
    </row>
    <row r="701">
      <c r="E701" s="112"/>
      <c r="F701" s="112"/>
      <c r="N701" s="112"/>
    </row>
    <row r="702">
      <c r="E702" s="112"/>
      <c r="F702" s="112"/>
      <c r="N702" s="112"/>
    </row>
    <row r="703">
      <c r="E703" s="112"/>
      <c r="F703" s="112"/>
      <c r="N703" s="112"/>
    </row>
    <row r="704">
      <c r="E704" s="112"/>
      <c r="F704" s="112"/>
      <c r="N704" s="112"/>
    </row>
    <row r="705">
      <c r="E705" s="112"/>
      <c r="F705" s="112"/>
      <c r="N705" s="112"/>
    </row>
    <row r="706">
      <c r="E706" s="112"/>
      <c r="F706" s="112"/>
      <c r="N706" s="112"/>
    </row>
    <row r="707">
      <c r="E707" s="112"/>
      <c r="F707" s="112"/>
      <c r="N707" s="112"/>
    </row>
    <row r="708">
      <c r="E708" s="112"/>
      <c r="F708" s="112"/>
      <c r="N708" s="112"/>
    </row>
    <row r="709">
      <c r="E709" s="112"/>
      <c r="F709" s="112"/>
      <c r="N709" s="112"/>
    </row>
    <row r="710">
      <c r="E710" s="112"/>
      <c r="F710" s="112"/>
      <c r="N710" s="112"/>
    </row>
    <row r="711">
      <c r="E711" s="112"/>
      <c r="F711" s="112"/>
      <c r="N711" s="112"/>
    </row>
    <row r="712">
      <c r="E712" s="112"/>
      <c r="F712" s="112"/>
      <c r="N712" s="112"/>
    </row>
    <row r="713">
      <c r="E713" s="112"/>
      <c r="F713" s="112"/>
      <c r="N713" s="112"/>
    </row>
    <row r="714">
      <c r="E714" s="112"/>
      <c r="F714" s="112"/>
      <c r="N714" s="112"/>
    </row>
    <row r="715">
      <c r="E715" s="112"/>
      <c r="F715" s="112"/>
      <c r="N715" s="112"/>
    </row>
    <row r="716">
      <c r="E716" s="112"/>
      <c r="F716" s="112"/>
      <c r="N716" s="112"/>
    </row>
    <row r="717">
      <c r="E717" s="112"/>
      <c r="F717" s="112"/>
      <c r="N717" s="112"/>
    </row>
    <row r="718">
      <c r="E718" s="112"/>
      <c r="F718" s="112"/>
      <c r="N718" s="112"/>
    </row>
    <row r="719">
      <c r="E719" s="112"/>
      <c r="F719" s="112"/>
      <c r="N719" s="112"/>
    </row>
    <row r="720">
      <c r="E720" s="112"/>
      <c r="F720" s="112"/>
      <c r="N720" s="112"/>
    </row>
    <row r="721">
      <c r="E721" s="112"/>
      <c r="F721" s="112"/>
      <c r="N721" s="112"/>
    </row>
    <row r="722">
      <c r="E722" s="112"/>
      <c r="F722" s="112"/>
      <c r="N722" s="112"/>
    </row>
    <row r="723">
      <c r="E723" s="112"/>
      <c r="F723" s="112"/>
      <c r="N723" s="112"/>
    </row>
    <row r="724">
      <c r="E724" s="112"/>
      <c r="F724" s="112"/>
      <c r="N724" s="112"/>
    </row>
    <row r="725">
      <c r="E725" s="112"/>
      <c r="F725" s="112"/>
      <c r="N725" s="112"/>
    </row>
    <row r="726">
      <c r="E726" s="112"/>
      <c r="F726" s="112"/>
      <c r="N726" s="112"/>
    </row>
    <row r="727">
      <c r="E727" s="112"/>
      <c r="F727" s="112"/>
      <c r="N727" s="112"/>
    </row>
    <row r="728">
      <c r="E728" s="112"/>
      <c r="F728" s="112"/>
      <c r="N728" s="112"/>
    </row>
    <row r="729">
      <c r="E729" s="112"/>
      <c r="F729" s="112"/>
      <c r="N729" s="112"/>
    </row>
    <row r="730">
      <c r="E730" s="112"/>
      <c r="F730" s="112"/>
      <c r="N730" s="112"/>
    </row>
    <row r="731">
      <c r="E731" s="112"/>
      <c r="F731" s="112"/>
      <c r="N731" s="112"/>
    </row>
    <row r="732">
      <c r="E732" s="112"/>
      <c r="F732" s="112"/>
      <c r="N732" s="112"/>
    </row>
    <row r="733">
      <c r="E733" s="112"/>
      <c r="F733" s="112"/>
      <c r="N733" s="112"/>
    </row>
    <row r="734">
      <c r="E734" s="112"/>
      <c r="F734" s="112"/>
      <c r="N734" s="112"/>
    </row>
    <row r="735">
      <c r="E735" s="112"/>
      <c r="F735" s="112"/>
      <c r="N735" s="112"/>
    </row>
    <row r="736">
      <c r="E736" s="112"/>
      <c r="F736" s="112"/>
      <c r="N736" s="112"/>
    </row>
    <row r="737">
      <c r="E737" s="112"/>
      <c r="F737" s="112"/>
      <c r="N737" s="112"/>
    </row>
    <row r="738">
      <c r="E738" s="112"/>
      <c r="F738" s="112"/>
      <c r="N738" s="112"/>
    </row>
    <row r="739">
      <c r="E739" s="112"/>
      <c r="F739" s="112"/>
      <c r="N739" s="112"/>
    </row>
    <row r="740">
      <c r="E740" s="112"/>
      <c r="F740" s="112"/>
      <c r="N740" s="112"/>
    </row>
    <row r="741">
      <c r="E741" s="112"/>
      <c r="F741" s="112"/>
      <c r="N741" s="112"/>
    </row>
    <row r="742">
      <c r="E742" s="112"/>
      <c r="F742" s="112"/>
      <c r="N742" s="112"/>
    </row>
    <row r="743">
      <c r="E743" s="112"/>
      <c r="F743" s="112"/>
      <c r="N743" s="112"/>
    </row>
    <row r="744">
      <c r="E744" s="112"/>
      <c r="F744" s="112"/>
      <c r="N744" s="112"/>
    </row>
    <row r="745">
      <c r="E745" s="112"/>
      <c r="F745" s="112"/>
      <c r="N745" s="112"/>
    </row>
    <row r="746">
      <c r="E746" s="112"/>
      <c r="F746" s="112"/>
      <c r="N746" s="112"/>
    </row>
    <row r="747">
      <c r="E747" s="112"/>
      <c r="F747" s="112"/>
      <c r="N747" s="112"/>
    </row>
    <row r="748">
      <c r="E748" s="112"/>
      <c r="F748" s="112"/>
      <c r="N748" s="112"/>
    </row>
    <row r="749">
      <c r="E749" s="112"/>
      <c r="F749" s="112"/>
      <c r="N749" s="112"/>
    </row>
    <row r="750">
      <c r="E750" s="112"/>
      <c r="F750" s="112"/>
      <c r="N750" s="112"/>
    </row>
    <row r="751">
      <c r="E751" s="112"/>
      <c r="F751" s="112"/>
      <c r="N751" s="112"/>
    </row>
    <row r="752">
      <c r="E752" s="112"/>
      <c r="F752" s="112"/>
      <c r="N752" s="112"/>
    </row>
    <row r="753">
      <c r="E753" s="112"/>
      <c r="F753" s="112"/>
      <c r="N753" s="112"/>
    </row>
    <row r="754">
      <c r="E754" s="112"/>
      <c r="F754" s="112"/>
      <c r="N754" s="112"/>
    </row>
    <row r="755">
      <c r="E755" s="112"/>
      <c r="F755" s="112"/>
      <c r="N755" s="112"/>
    </row>
    <row r="756">
      <c r="E756" s="112"/>
      <c r="F756" s="112"/>
      <c r="N756" s="112"/>
    </row>
    <row r="757">
      <c r="E757" s="112"/>
      <c r="F757" s="112"/>
      <c r="N757" s="112"/>
    </row>
    <row r="758">
      <c r="E758" s="112"/>
      <c r="F758" s="112"/>
      <c r="N758" s="112"/>
    </row>
    <row r="759">
      <c r="E759" s="112"/>
      <c r="F759" s="112"/>
      <c r="N759" s="112"/>
    </row>
    <row r="760">
      <c r="E760" s="112"/>
      <c r="F760" s="112"/>
      <c r="N760" s="112"/>
    </row>
    <row r="761">
      <c r="E761" s="112"/>
      <c r="F761" s="112"/>
      <c r="N761" s="112"/>
    </row>
    <row r="762">
      <c r="E762" s="112"/>
      <c r="F762" s="112"/>
      <c r="N762" s="112"/>
    </row>
    <row r="763">
      <c r="E763" s="112"/>
      <c r="F763" s="112"/>
      <c r="N763" s="112"/>
    </row>
    <row r="764">
      <c r="E764" s="112"/>
      <c r="F764" s="112"/>
      <c r="N764" s="112"/>
    </row>
    <row r="765">
      <c r="E765" s="112"/>
      <c r="F765" s="112"/>
      <c r="N765" s="112"/>
    </row>
    <row r="766">
      <c r="E766" s="112"/>
      <c r="F766" s="112"/>
      <c r="N766" s="112"/>
    </row>
    <row r="767">
      <c r="E767" s="112"/>
      <c r="F767" s="112"/>
      <c r="N767" s="112"/>
    </row>
    <row r="768">
      <c r="E768" s="112"/>
      <c r="F768" s="112"/>
      <c r="N768" s="112"/>
    </row>
    <row r="769">
      <c r="E769" s="112"/>
      <c r="F769" s="112"/>
      <c r="N769" s="112"/>
    </row>
    <row r="770">
      <c r="E770" s="112"/>
      <c r="F770" s="112"/>
      <c r="N770" s="112"/>
    </row>
    <row r="771">
      <c r="E771" s="112"/>
      <c r="F771" s="112"/>
      <c r="N771" s="112"/>
    </row>
    <row r="772">
      <c r="E772" s="112"/>
      <c r="F772" s="112"/>
      <c r="N772" s="112"/>
    </row>
    <row r="773">
      <c r="E773" s="112"/>
      <c r="F773" s="112"/>
      <c r="N773" s="112"/>
    </row>
    <row r="774">
      <c r="E774" s="112"/>
      <c r="F774" s="112"/>
      <c r="N774" s="112"/>
    </row>
    <row r="775">
      <c r="E775" s="112"/>
      <c r="F775" s="112"/>
      <c r="N775" s="112"/>
    </row>
    <row r="776">
      <c r="E776" s="112"/>
      <c r="F776" s="112"/>
      <c r="N776" s="112"/>
    </row>
    <row r="777">
      <c r="E777" s="112"/>
      <c r="F777" s="112"/>
      <c r="N777" s="112"/>
    </row>
    <row r="778">
      <c r="E778" s="112"/>
      <c r="F778" s="112"/>
      <c r="N778" s="112"/>
    </row>
    <row r="779">
      <c r="E779" s="112"/>
      <c r="F779" s="112"/>
      <c r="N779" s="112"/>
    </row>
    <row r="780">
      <c r="E780" s="112"/>
      <c r="F780" s="112"/>
      <c r="N780" s="112"/>
    </row>
    <row r="781">
      <c r="E781" s="112"/>
      <c r="F781" s="112"/>
      <c r="N781" s="112"/>
    </row>
    <row r="782">
      <c r="E782" s="112"/>
      <c r="F782" s="112"/>
      <c r="N782" s="112"/>
    </row>
    <row r="783">
      <c r="E783" s="112"/>
      <c r="F783" s="112"/>
      <c r="N783" s="112"/>
    </row>
    <row r="784">
      <c r="E784" s="112"/>
      <c r="F784" s="112"/>
      <c r="N784" s="112"/>
    </row>
    <row r="785">
      <c r="E785" s="112"/>
      <c r="F785" s="112"/>
      <c r="N785" s="112"/>
    </row>
    <row r="786">
      <c r="E786" s="112"/>
      <c r="F786" s="112"/>
      <c r="N786" s="112"/>
    </row>
    <row r="787">
      <c r="E787" s="112"/>
      <c r="F787" s="112"/>
      <c r="N787" s="112"/>
    </row>
    <row r="788">
      <c r="E788" s="112"/>
      <c r="F788" s="112"/>
      <c r="N788" s="112"/>
    </row>
    <row r="789">
      <c r="E789" s="112"/>
      <c r="F789" s="112"/>
      <c r="N789" s="112"/>
    </row>
    <row r="790">
      <c r="E790" s="112"/>
      <c r="F790" s="112"/>
      <c r="N790" s="112"/>
    </row>
    <row r="791">
      <c r="E791" s="112"/>
      <c r="F791" s="112"/>
      <c r="N791" s="112"/>
    </row>
    <row r="792">
      <c r="E792" s="112"/>
      <c r="F792" s="112"/>
      <c r="N792" s="112"/>
    </row>
    <row r="793">
      <c r="E793" s="112"/>
      <c r="F793" s="112"/>
      <c r="N793" s="112"/>
    </row>
    <row r="794">
      <c r="E794" s="112"/>
      <c r="F794" s="112"/>
      <c r="N794" s="112"/>
    </row>
    <row r="795">
      <c r="E795" s="112"/>
      <c r="F795" s="112"/>
      <c r="N795" s="112"/>
    </row>
    <row r="796">
      <c r="E796" s="112"/>
      <c r="F796" s="112"/>
      <c r="N796" s="112"/>
    </row>
    <row r="797">
      <c r="E797" s="112"/>
      <c r="F797" s="112"/>
      <c r="N797" s="112"/>
    </row>
    <row r="798">
      <c r="E798" s="112"/>
      <c r="F798" s="112"/>
      <c r="N798" s="112"/>
    </row>
    <row r="799">
      <c r="E799" s="112"/>
      <c r="F799" s="112"/>
      <c r="N799" s="112"/>
    </row>
    <row r="800">
      <c r="E800" s="112"/>
      <c r="F800" s="112"/>
      <c r="N800" s="112"/>
    </row>
    <row r="801">
      <c r="E801" s="112"/>
      <c r="F801" s="112"/>
      <c r="N801" s="112"/>
    </row>
    <row r="802">
      <c r="E802" s="112"/>
      <c r="F802" s="112"/>
      <c r="N802" s="112"/>
    </row>
    <row r="803">
      <c r="E803" s="112"/>
      <c r="F803" s="112"/>
      <c r="N803" s="112"/>
    </row>
    <row r="804">
      <c r="E804" s="112"/>
      <c r="F804" s="112"/>
      <c r="N804" s="112"/>
    </row>
    <row r="805">
      <c r="E805" s="112"/>
      <c r="F805" s="112"/>
      <c r="N805" s="112"/>
    </row>
    <row r="806">
      <c r="E806" s="112"/>
      <c r="F806" s="112"/>
      <c r="N806" s="112"/>
    </row>
    <row r="807">
      <c r="E807" s="112"/>
      <c r="F807" s="112"/>
      <c r="N807" s="112"/>
    </row>
    <row r="808">
      <c r="E808" s="112"/>
      <c r="F808" s="112"/>
      <c r="N808" s="112"/>
    </row>
    <row r="809">
      <c r="E809" s="112"/>
      <c r="F809" s="112"/>
      <c r="N809" s="112"/>
    </row>
    <row r="810">
      <c r="E810" s="112"/>
      <c r="F810" s="112"/>
      <c r="N810" s="112"/>
    </row>
    <row r="811">
      <c r="E811" s="112"/>
      <c r="F811" s="112"/>
      <c r="N811" s="112"/>
    </row>
    <row r="812">
      <c r="E812" s="112"/>
      <c r="F812" s="112"/>
      <c r="N812" s="112"/>
    </row>
    <row r="813">
      <c r="E813" s="112"/>
      <c r="F813" s="112"/>
      <c r="N813" s="112"/>
    </row>
    <row r="814">
      <c r="E814" s="112"/>
      <c r="F814" s="112"/>
      <c r="N814" s="112"/>
    </row>
    <row r="815">
      <c r="E815" s="112"/>
      <c r="F815" s="112"/>
      <c r="N815" s="112"/>
    </row>
    <row r="816">
      <c r="E816" s="112"/>
      <c r="F816" s="112"/>
      <c r="N816" s="112"/>
    </row>
    <row r="817">
      <c r="E817" s="112"/>
      <c r="F817" s="112"/>
      <c r="N817" s="112"/>
    </row>
    <row r="818">
      <c r="E818" s="112"/>
      <c r="F818" s="112"/>
      <c r="N818" s="112"/>
    </row>
    <row r="819">
      <c r="E819" s="112"/>
      <c r="F819" s="112"/>
      <c r="N819" s="112"/>
    </row>
    <row r="820">
      <c r="E820" s="112"/>
      <c r="F820" s="112"/>
      <c r="N820" s="112"/>
    </row>
    <row r="821">
      <c r="E821" s="112"/>
      <c r="F821" s="112"/>
      <c r="N821" s="112"/>
    </row>
    <row r="822">
      <c r="E822" s="112"/>
      <c r="F822" s="112"/>
      <c r="N822" s="112"/>
    </row>
    <row r="823">
      <c r="E823" s="112"/>
      <c r="F823" s="112"/>
      <c r="N823" s="112"/>
    </row>
    <row r="824">
      <c r="E824" s="112"/>
      <c r="F824" s="112"/>
      <c r="N824" s="112"/>
    </row>
    <row r="825">
      <c r="E825" s="112"/>
      <c r="F825" s="112"/>
      <c r="N825" s="112"/>
    </row>
    <row r="826">
      <c r="E826" s="112"/>
      <c r="F826" s="112"/>
      <c r="N826" s="112"/>
    </row>
    <row r="827">
      <c r="E827" s="112"/>
      <c r="F827" s="112"/>
      <c r="N827" s="112"/>
    </row>
    <row r="828">
      <c r="E828" s="112"/>
      <c r="F828" s="112"/>
      <c r="N828" s="112"/>
    </row>
    <row r="829">
      <c r="E829" s="112"/>
      <c r="F829" s="112"/>
      <c r="N829" s="112"/>
    </row>
    <row r="830">
      <c r="E830" s="112"/>
      <c r="F830" s="112"/>
      <c r="N830" s="112"/>
    </row>
    <row r="831">
      <c r="E831" s="112"/>
      <c r="F831" s="112"/>
      <c r="N831" s="112"/>
    </row>
    <row r="832">
      <c r="E832" s="112"/>
      <c r="F832" s="112"/>
      <c r="N832" s="112"/>
    </row>
    <row r="833">
      <c r="E833" s="112"/>
      <c r="F833" s="112"/>
      <c r="N833" s="112"/>
    </row>
    <row r="834">
      <c r="E834" s="112"/>
      <c r="F834" s="112"/>
      <c r="N834" s="112"/>
    </row>
    <row r="835">
      <c r="E835" s="112"/>
      <c r="F835" s="112"/>
      <c r="N835" s="112"/>
    </row>
    <row r="836">
      <c r="E836" s="112"/>
      <c r="F836" s="112"/>
      <c r="N836" s="112"/>
    </row>
    <row r="837">
      <c r="E837" s="112"/>
      <c r="F837" s="112"/>
      <c r="N837" s="112"/>
    </row>
    <row r="838">
      <c r="E838" s="112"/>
      <c r="F838" s="112"/>
      <c r="N838" s="112"/>
    </row>
    <row r="839">
      <c r="E839" s="112"/>
      <c r="F839" s="112"/>
      <c r="N839" s="112"/>
    </row>
    <row r="840">
      <c r="E840" s="112"/>
      <c r="F840" s="112"/>
      <c r="N840" s="112"/>
    </row>
    <row r="841">
      <c r="E841" s="112"/>
      <c r="F841" s="112"/>
      <c r="N841" s="112"/>
    </row>
    <row r="842">
      <c r="E842" s="112"/>
      <c r="F842" s="112"/>
      <c r="N842" s="112"/>
    </row>
    <row r="843">
      <c r="E843" s="112"/>
      <c r="F843" s="112"/>
      <c r="N843" s="112"/>
    </row>
    <row r="844">
      <c r="E844" s="112"/>
      <c r="F844" s="112"/>
      <c r="N844" s="112"/>
    </row>
    <row r="845">
      <c r="E845" s="112"/>
      <c r="F845" s="112"/>
      <c r="N845" s="112"/>
    </row>
    <row r="846">
      <c r="E846" s="112"/>
      <c r="F846" s="112"/>
      <c r="N846" s="112"/>
    </row>
    <row r="847">
      <c r="E847" s="112"/>
      <c r="F847" s="112"/>
      <c r="N847" s="112"/>
    </row>
    <row r="848">
      <c r="E848" s="112"/>
      <c r="F848" s="112"/>
      <c r="N848" s="112"/>
    </row>
    <row r="849">
      <c r="E849" s="112"/>
      <c r="F849" s="112"/>
      <c r="N849" s="112"/>
    </row>
    <row r="850">
      <c r="E850" s="112"/>
      <c r="F850" s="112"/>
      <c r="N850" s="112"/>
    </row>
    <row r="851">
      <c r="E851" s="112"/>
      <c r="F851" s="112"/>
      <c r="N851" s="112"/>
    </row>
    <row r="852">
      <c r="E852" s="112"/>
      <c r="F852" s="112"/>
      <c r="N852" s="112"/>
    </row>
    <row r="853">
      <c r="E853" s="112"/>
      <c r="F853" s="112"/>
      <c r="N853" s="112"/>
    </row>
    <row r="854">
      <c r="E854" s="112"/>
      <c r="F854" s="112"/>
      <c r="N854" s="112"/>
    </row>
    <row r="855">
      <c r="E855" s="112"/>
      <c r="F855" s="112"/>
      <c r="N855" s="112"/>
    </row>
    <row r="856">
      <c r="E856" s="112"/>
      <c r="F856" s="112"/>
      <c r="N856" s="112"/>
    </row>
    <row r="857">
      <c r="E857" s="112"/>
      <c r="F857" s="112"/>
      <c r="N857" s="112"/>
    </row>
    <row r="858">
      <c r="E858" s="112"/>
      <c r="F858" s="112"/>
      <c r="N858" s="112"/>
    </row>
    <row r="859">
      <c r="E859" s="112"/>
      <c r="F859" s="112"/>
      <c r="N859" s="112"/>
    </row>
    <row r="860">
      <c r="E860" s="112"/>
      <c r="F860" s="112"/>
      <c r="N860" s="112"/>
    </row>
    <row r="861">
      <c r="E861" s="112"/>
      <c r="F861" s="112"/>
      <c r="N861" s="112"/>
    </row>
    <row r="862">
      <c r="E862" s="112"/>
      <c r="F862" s="112"/>
      <c r="N862" s="112"/>
    </row>
    <row r="863">
      <c r="E863" s="112"/>
      <c r="F863" s="112"/>
      <c r="N863" s="112"/>
    </row>
    <row r="864">
      <c r="E864" s="112"/>
      <c r="F864" s="112"/>
      <c r="N864" s="112"/>
    </row>
    <row r="865">
      <c r="E865" s="112"/>
      <c r="F865" s="112"/>
      <c r="N865" s="112"/>
    </row>
    <row r="866">
      <c r="E866" s="112"/>
      <c r="F866" s="112"/>
      <c r="N866" s="112"/>
    </row>
    <row r="867">
      <c r="E867" s="112"/>
      <c r="F867" s="112"/>
      <c r="N867" s="112"/>
    </row>
    <row r="868">
      <c r="E868" s="112"/>
      <c r="F868" s="112"/>
      <c r="N868" s="112"/>
    </row>
    <row r="869">
      <c r="E869" s="112"/>
      <c r="F869" s="112"/>
      <c r="N869" s="112"/>
    </row>
    <row r="870">
      <c r="E870" s="112"/>
      <c r="F870" s="112"/>
      <c r="N870" s="112"/>
    </row>
    <row r="871">
      <c r="E871" s="112"/>
      <c r="F871" s="112"/>
      <c r="N871" s="112"/>
    </row>
    <row r="872">
      <c r="E872" s="112"/>
      <c r="F872" s="112"/>
      <c r="N872" s="112"/>
    </row>
    <row r="873">
      <c r="E873" s="112"/>
      <c r="F873" s="112"/>
      <c r="N873" s="112"/>
    </row>
    <row r="874">
      <c r="E874" s="112"/>
      <c r="F874" s="112"/>
      <c r="N874" s="112"/>
    </row>
    <row r="875">
      <c r="E875" s="112"/>
      <c r="F875" s="112"/>
      <c r="N875" s="112"/>
    </row>
    <row r="876">
      <c r="E876" s="112"/>
      <c r="F876" s="112"/>
      <c r="N876" s="112"/>
    </row>
    <row r="877">
      <c r="E877" s="112"/>
      <c r="F877" s="112"/>
      <c r="N877" s="112"/>
    </row>
    <row r="878">
      <c r="E878" s="112"/>
      <c r="F878" s="112"/>
      <c r="N878" s="112"/>
    </row>
    <row r="879">
      <c r="E879" s="112"/>
      <c r="F879" s="112"/>
      <c r="N879" s="112"/>
    </row>
    <row r="880">
      <c r="E880" s="112"/>
      <c r="F880" s="112"/>
      <c r="N880" s="112"/>
    </row>
    <row r="881">
      <c r="E881" s="112"/>
      <c r="F881" s="112"/>
      <c r="N881" s="112"/>
    </row>
    <row r="882">
      <c r="E882" s="112"/>
      <c r="F882" s="112"/>
      <c r="N882" s="112"/>
    </row>
    <row r="883">
      <c r="E883" s="112"/>
      <c r="F883" s="112"/>
      <c r="N883" s="112"/>
    </row>
    <row r="884">
      <c r="E884" s="112"/>
      <c r="F884" s="112"/>
      <c r="N884" s="112"/>
    </row>
    <row r="885">
      <c r="E885" s="112"/>
      <c r="F885" s="112"/>
      <c r="N885" s="112"/>
    </row>
    <row r="886">
      <c r="E886" s="112"/>
      <c r="F886" s="112"/>
      <c r="N886" s="112"/>
    </row>
    <row r="887">
      <c r="E887" s="112"/>
      <c r="F887" s="112"/>
      <c r="N887" s="112"/>
    </row>
    <row r="888">
      <c r="E888" s="112"/>
      <c r="F888" s="112"/>
      <c r="N888" s="112"/>
    </row>
    <row r="889">
      <c r="E889" s="112"/>
      <c r="F889" s="112"/>
      <c r="N889" s="112"/>
    </row>
    <row r="890">
      <c r="E890" s="112"/>
      <c r="F890" s="112"/>
      <c r="N890" s="112"/>
    </row>
    <row r="891">
      <c r="E891" s="112"/>
      <c r="F891" s="112"/>
      <c r="N891" s="112"/>
    </row>
    <row r="892">
      <c r="E892" s="112"/>
      <c r="F892" s="112"/>
      <c r="N892" s="112"/>
    </row>
    <row r="893">
      <c r="E893" s="112"/>
      <c r="F893" s="112"/>
      <c r="N893" s="112"/>
    </row>
    <row r="894">
      <c r="E894" s="112"/>
      <c r="F894" s="112"/>
      <c r="N894" s="112"/>
    </row>
    <row r="895">
      <c r="E895" s="112"/>
      <c r="F895" s="112"/>
      <c r="N895" s="112"/>
    </row>
    <row r="896">
      <c r="E896" s="112"/>
      <c r="F896" s="112"/>
      <c r="N896" s="112"/>
    </row>
    <row r="897">
      <c r="E897" s="112"/>
      <c r="F897" s="112"/>
      <c r="N897" s="112"/>
    </row>
    <row r="898">
      <c r="E898" s="112"/>
      <c r="F898" s="112"/>
      <c r="N898" s="112"/>
    </row>
    <row r="899">
      <c r="E899" s="112"/>
      <c r="F899" s="112"/>
      <c r="N899" s="112"/>
    </row>
    <row r="900">
      <c r="E900" s="112"/>
      <c r="F900" s="112"/>
      <c r="N900" s="112"/>
    </row>
    <row r="901">
      <c r="E901" s="112"/>
      <c r="F901" s="112"/>
      <c r="N901" s="112"/>
    </row>
    <row r="902">
      <c r="E902" s="112"/>
      <c r="F902" s="112"/>
      <c r="N902" s="112"/>
    </row>
    <row r="903">
      <c r="E903" s="112"/>
      <c r="F903" s="112"/>
      <c r="N903" s="112"/>
    </row>
    <row r="904">
      <c r="E904" s="112"/>
      <c r="F904" s="112"/>
      <c r="N904" s="112"/>
    </row>
    <row r="905">
      <c r="E905" s="112"/>
      <c r="F905" s="112"/>
      <c r="N905" s="112"/>
    </row>
    <row r="906">
      <c r="E906" s="112"/>
      <c r="F906" s="112"/>
      <c r="N906" s="112"/>
    </row>
    <row r="907">
      <c r="E907" s="112"/>
      <c r="F907" s="112"/>
      <c r="N907" s="112"/>
    </row>
    <row r="908">
      <c r="E908" s="112"/>
      <c r="F908" s="112"/>
      <c r="N908" s="112"/>
    </row>
    <row r="909">
      <c r="E909" s="112"/>
      <c r="F909" s="112"/>
      <c r="N909" s="112"/>
    </row>
    <row r="910">
      <c r="E910" s="112"/>
      <c r="F910" s="112"/>
      <c r="N910" s="112"/>
    </row>
    <row r="911">
      <c r="E911" s="112"/>
      <c r="F911" s="112"/>
      <c r="N911" s="112"/>
    </row>
    <row r="912">
      <c r="E912" s="112"/>
      <c r="F912" s="112"/>
      <c r="N912" s="112"/>
    </row>
    <row r="913">
      <c r="E913" s="112"/>
      <c r="F913" s="112"/>
      <c r="N913" s="112"/>
    </row>
    <row r="914">
      <c r="E914" s="112"/>
      <c r="F914" s="112"/>
      <c r="N914" s="112"/>
    </row>
    <row r="915">
      <c r="E915" s="112"/>
      <c r="F915" s="112"/>
      <c r="N915" s="112"/>
    </row>
    <row r="916">
      <c r="E916" s="112"/>
      <c r="F916" s="112"/>
      <c r="N916" s="112"/>
    </row>
    <row r="917">
      <c r="E917" s="112"/>
      <c r="F917" s="112"/>
      <c r="N917" s="112"/>
    </row>
    <row r="918">
      <c r="E918" s="112"/>
      <c r="F918" s="112"/>
      <c r="N918" s="112"/>
    </row>
    <row r="919">
      <c r="E919" s="112"/>
      <c r="F919" s="112"/>
      <c r="N919" s="112"/>
    </row>
    <row r="920">
      <c r="E920" s="112"/>
      <c r="F920" s="112"/>
      <c r="N920" s="112"/>
    </row>
    <row r="921">
      <c r="E921" s="112"/>
      <c r="F921" s="112"/>
      <c r="N921" s="112"/>
    </row>
    <row r="922">
      <c r="E922" s="112"/>
      <c r="F922" s="112"/>
      <c r="N922" s="112"/>
    </row>
    <row r="923">
      <c r="E923" s="112"/>
      <c r="F923" s="112"/>
      <c r="N923" s="112"/>
    </row>
    <row r="924">
      <c r="E924" s="112"/>
      <c r="F924" s="112"/>
      <c r="N924" s="112"/>
    </row>
    <row r="925">
      <c r="E925" s="112"/>
      <c r="F925" s="112"/>
      <c r="N925" s="112"/>
    </row>
    <row r="926">
      <c r="E926" s="112"/>
      <c r="F926" s="112"/>
      <c r="N926" s="112"/>
    </row>
    <row r="927">
      <c r="E927" s="112"/>
      <c r="F927" s="112"/>
      <c r="N927" s="112"/>
    </row>
    <row r="928">
      <c r="E928" s="112"/>
      <c r="F928" s="112"/>
      <c r="N928" s="112"/>
    </row>
    <row r="929">
      <c r="E929" s="112"/>
      <c r="F929" s="112"/>
      <c r="N929" s="112"/>
    </row>
    <row r="930">
      <c r="E930" s="112"/>
      <c r="F930" s="112"/>
      <c r="N930" s="112"/>
    </row>
    <row r="931">
      <c r="E931" s="112"/>
      <c r="F931" s="112"/>
      <c r="N931" s="112"/>
    </row>
    <row r="932">
      <c r="E932" s="112"/>
      <c r="F932" s="112"/>
      <c r="N932" s="112"/>
    </row>
    <row r="933">
      <c r="E933" s="112"/>
      <c r="F933" s="112"/>
      <c r="N933" s="112"/>
    </row>
    <row r="934">
      <c r="E934" s="112"/>
      <c r="F934" s="112"/>
      <c r="N934" s="112"/>
    </row>
    <row r="935">
      <c r="E935" s="112"/>
      <c r="F935" s="112"/>
      <c r="N935" s="112"/>
    </row>
    <row r="936">
      <c r="E936" s="112"/>
      <c r="F936" s="112"/>
      <c r="N936" s="112"/>
    </row>
    <row r="937">
      <c r="E937" s="112"/>
      <c r="F937" s="112"/>
      <c r="N937" s="112"/>
    </row>
    <row r="938">
      <c r="E938" s="112"/>
      <c r="F938" s="112"/>
      <c r="N938" s="112"/>
    </row>
    <row r="939">
      <c r="E939" s="112"/>
      <c r="F939" s="112"/>
      <c r="N939" s="112"/>
    </row>
    <row r="940">
      <c r="E940" s="112"/>
      <c r="F940" s="112"/>
      <c r="N940" s="112"/>
    </row>
    <row r="941">
      <c r="E941" s="112"/>
      <c r="F941" s="112"/>
      <c r="N941" s="112"/>
    </row>
    <row r="942">
      <c r="E942" s="112"/>
      <c r="F942" s="112"/>
      <c r="N942" s="112"/>
    </row>
    <row r="943">
      <c r="E943" s="112"/>
      <c r="F943" s="112"/>
      <c r="N943" s="112"/>
    </row>
    <row r="944">
      <c r="E944" s="112"/>
      <c r="F944" s="112"/>
      <c r="N944" s="112"/>
    </row>
    <row r="945">
      <c r="E945" s="112"/>
      <c r="F945" s="112"/>
      <c r="N945" s="112"/>
    </row>
    <row r="946">
      <c r="E946" s="112"/>
      <c r="F946" s="112"/>
      <c r="N946" s="112"/>
    </row>
    <row r="947">
      <c r="E947" s="112"/>
      <c r="F947" s="112"/>
      <c r="N947" s="112"/>
    </row>
    <row r="948">
      <c r="E948" s="112"/>
      <c r="F948" s="112"/>
      <c r="N948" s="112"/>
    </row>
    <row r="949">
      <c r="E949" s="112"/>
      <c r="F949" s="112"/>
      <c r="N949" s="112"/>
    </row>
    <row r="950">
      <c r="E950" s="112"/>
      <c r="F950" s="112"/>
      <c r="N950" s="112"/>
    </row>
    <row r="951">
      <c r="E951" s="112"/>
      <c r="F951" s="112"/>
      <c r="N951" s="112"/>
    </row>
    <row r="952">
      <c r="E952" s="112"/>
      <c r="F952" s="112"/>
      <c r="N952" s="112"/>
    </row>
    <row r="953">
      <c r="E953" s="112"/>
      <c r="F953" s="112"/>
      <c r="N953" s="112"/>
    </row>
    <row r="954">
      <c r="E954" s="112"/>
      <c r="F954" s="112"/>
      <c r="N954" s="112"/>
    </row>
    <row r="955">
      <c r="E955" s="112"/>
      <c r="F955" s="112"/>
      <c r="N955" s="112"/>
    </row>
    <row r="956">
      <c r="E956" s="112"/>
      <c r="F956" s="112"/>
      <c r="N956" s="112"/>
    </row>
    <row r="957">
      <c r="E957" s="112"/>
      <c r="F957" s="112"/>
      <c r="N957" s="112"/>
    </row>
    <row r="958">
      <c r="E958" s="112"/>
      <c r="F958" s="112"/>
      <c r="N958" s="112"/>
    </row>
    <row r="959">
      <c r="E959" s="112"/>
      <c r="F959" s="112"/>
      <c r="N959" s="112"/>
    </row>
    <row r="960">
      <c r="E960" s="112"/>
      <c r="F960" s="112"/>
      <c r="N960" s="112"/>
    </row>
    <row r="961">
      <c r="E961" s="112"/>
      <c r="F961" s="112"/>
      <c r="N961" s="112"/>
    </row>
    <row r="962">
      <c r="E962" s="112"/>
      <c r="F962" s="112"/>
      <c r="N962" s="112"/>
    </row>
    <row r="963">
      <c r="E963" s="112"/>
      <c r="F963" s="112"/>
      <c r="N963" s="112"/>
    </row>
    <row r="964">
      <c r="E964" s="112"/>
      <c r="F964" s="112"/>
      <c r="N964" s="112"/>
    </row>
    <row r="965">
      <c r="E965" s="112"/>
      <c r="F965" s="112"/>
      <c r="N965" s="112"/>
    </row>
    <row r="966">
      <c r="E966" s="112"/>
      <c r="F966" s="112"/>
      <c r="N966" s="112"/>
    </row>
    <row r="967">
      <c r="E967" s="112"/>
      <c r="F967" s="112"/>
      <c r="N967" s="112"/>
    </row>
    <row r="968">
      <c r="E968" s="112"/>
      <c r="F968" s="112"/>
      <c r="N968" s="112"/>
    </row>
    <row r="969">
      <c r="E969" s="112"/>
      <c r="F969" s="112"/>
      <c r="N969" s="112"/>
    </row>
    <row r="970">
      <c r="E970" s="112"/>
      <c r="F970" s="112"/>
      <c r="N970" s="112"/>
    </row>
    <row r="971">
      <c r="E971" s="112"/>
      <c r="F971" s="112"/>
      <c r="N971" s="112"/>
    </row>
    <row r="972">
      <c r="E972" s="112"/>
      <c r="F972" s="112"/>
      <c r="N972" s="112"/>
    </row>
    <row r="973">
      <c r="E973" s="112"/>
      <c r="F973" s="112"/>
      <c r="N973" s="112"/>
    </row>
    <row r="974">
      <c r="E974" s="112"/>
      <c r="F974" s="112"/>
      <c r="N974" s="112"/>
    </row>
    <row r="975">
      <c r="E975" s="112"/>
      <c r="F975" s="112"/>
      <c r="N975" s="112"/>
    </row>
    <row r="976">
      <c r="E976" s="112"/>
      <c r="F976" s="112"/>
      <c r="N976" s="112"/>
    </row>
    <row r="977">
      <c r="E977" s="112"/>
      <c r="F977" s="112"/>
      <c r="N977" s="112"/>
    </row>
    <row r="978">
      <c r="E978" s="112"/>
      <c r="F978" s="112"/>
      <c r="N978" s="112"/>
    </row>
    <row r="979">
      <c r="E979" s="112"/>
      <c r="F979" s="112"/>
      <c r="N979" s="112"/>
    </row>
    <row r="980">
      <c r="E980" s="112"/>
      <c r="F980" s="112"/>
      <c r="N980" s="112"/>
    </row>
    <row r="981">
      <c r="E981" s="112"/>
      <c r="F981" s="112"/>
      <c r="N981" s="112"/>
    </row>
    <row r="982">
      <c r="E982" s="112"/>
      <c r="F982" s="112"/>
      <c r="N982" s="112"/>
    </row>
    <row r="983">
      <c r="E983" s="112"/>
      <c r="F983" s="112"/>
      <c r="N983" s="112"/>
    </row>
    <row r="984">
      <c r="E984" s="112"/>
      <c r="F984" s="112"/>
      <c r="N984" s="112"/>
    </row>
    <row r="985">
      <c r="E985" s="112"/>
      <c r="F985" s="112"/>
      <c r="N985" s="112"/>
    </row>
    <row r="986">
      <c r="E986" s="112"/>
      <c r="F986" s="112"/>
      <c r="N986" s="112"/>
    </row>
    <row r="987">
      <c r="E987" s="112"/>
      <c r="F987" s="112"/>
      <c r="N987" s="112"/>
    </row>
    <row r="988">
      <c r="E988" s="112"/>
      <c r="F988" s="112"/>
      <c r="N988" s="112"/>
    </row>
    <row r="989">
      <c r="E989" s="112"/>
      <c r="F989" s="112"/>
      <c r="N989" s="112"/>
    </row>
    <row r="990">
      <c r="E990" s="112"/>
      <c r="F990" s="112"/>
      <c r="N990" s="112"/>
    </row>
    <row r="991">
      <c r="E991" s="112"/>
      <c r="F991" s="112"/>
      <c r="N991" s="112"/>
    </row>
    <row r="992">
      <c r="E992" s="112"/>
      <c r="F992" s="112"/>
      <c r="N992" s="112"/>
    </row>
    <row r="993">
      <c r="E993" s="112"/>
      <c r="F993" s="112"/>
      <c r="N993" s="112"/>
    </row>
    <row r="994">
      <c r="E994" s="112"/>
      <c r="F994" s="112"/>
      <c r="N994" s="112"/>
    </row>
    <row r="995">
      <c r="E995" s="112"/>
      <c r="F995" s="112"/>
      <c r="N995" s="112"/>
    </row>
    <row r="996">
      <c r="E996" s="112"/>
      <c r="F996" s="112"/>
      <c r="N996" s="112"/>
    </row>
    <row r="997">
      <c r="E997" s="112"/>
      <c r="F997" s="112"/>
      <c r="N997" s="112"/>
    </row>
    <row r="998">
      <c r="E998" s="112"/>
      <c r="F998" s="112"/>
      <c r="N998" s="112"/>
    </row>
    <row r="999">
      <c r="E999" s="112"/>
      <c r="F999" s="112"/>
      <c r="N999" s="112"/>
    </row>
    <row r="1000">
      <c r="E1000" s="112"/>
      <c r="F1000" s="112"/>
      <c r="N1000" s="112"/>
    </row>
    <row r="1001">
      <c r="E1001" s="112"/>
      <c r="F1001" s="112"/>
      <c r="N1001" s="112"/>
    </row>
    <row r="1002">
      <c r="E1002" s="112"/>
      <c r="F1002" s="112"/>
      <c r="N1002" s="112"/>
    </row>
    <row r="1003">
      <c r="E1003" s="112"/>
      <c r="F1003" s="112"/>
      <c r="N1003" s="112"/>
    </row>
    <row r="1004">
      <c r="E1004" s="112"/>
      <c r="F1004" s="112"/>
      <c r="N1004" s="112"/>
    </row>
    <row r="1005">
      <c r="E1005" s="112"/>
      <c r="F1005" s="112"/>
      <c r="N1005" s="112"/>
    </row>
    <row r="1006">
      <c r="E1006" s="112"/>
      <c r="F1006" s="112"/>
      <c r="N1006" s="112"/>
    </row>
    <row r="1007">
      <c r="E1007" s="112"/>
      <c r="F1007" s="112"/>
      <c r="N1007" s="112"/>
    </row>
    <row r="1008">
      <c r="E1008" s="112"/>
      <c r="F1008" s="112"/>
      <c r="N1008" s="112"/>
    </row>
    <row r="1009">
      <c r="E1009" s="112"/>
      <c r="F1009" s="112"/>
      <c r="N1009" s="112"/>
    </row>
    <row r="1010">
      <c r="E1010" s="112"/>
      <c r="F1010" s="112"/>
      <c r="N1010" s="112"/>
    </row>
    <row r="1011">
      <c r="E1011" s="112"/>
      <c r="F1011" s="112"/>
      <c r="N1011" s="112"/>
    </row>
  </sheetData>
  <conditionalFormatting sqref="L9:L32">
    <cfRule type="cellIs" dxfId="0" priority="1" operator="between">
      <formula>0.1</formula>
      <formula>3.49</formula>
    </cfRule>
  </conditionalFormatting>
  <conditionalFormatting sqref="L9:L32">
    <cfRule type="cellIs" dxfId="1" priority="2" operator="between">
      <formula>-0.1</formula>
      <formula>-3.49</formula>
    </cfRule>
  </conditionalFormatting>
  <conditionalFormatting sqref="L9:L32">
    <cfRule type="cellIs" dxfId="2" priority="3" operator="between">
      <formula>3.5</formula>
      <formula>100</formula>
    </cfRule>
  </conditionalFormatting>
  <conditionalFormatting sqref="L9:L32">
    <cfRule type="cellIs" dxfId="3" priority="4" operator="between">
      <formula>-3.5</formula>
      <formula>-100</formula>
    </cfRule>
  </conditionalFormatting>
  <hyperlinks>
    <hyperlink r:id="rId1" ref="K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75"/>
    <col customWidth="1" min="2" max="2" width="11.88"/>
    <col customWidth="1" min="3" max="3" width="10.13"/>
    <col customWidth="1" min="4" max="4" width="8.5"/>
    <col customWidth="1" min="5" max="5" width="13.75"/>
    <col customWidth="1" min="6" max="6" width="12.63"/>
    <col customWidth="1" min="7" max="7" width="18.88"/>
    <col customWidth="1" min="8" max="8" width="17.13"/>
    <col customWidth="1" min="9" max="9" width="11.75"/>
    <col customWidth="1" min="10" max="10" width="11.0"/>
    <col customWidth="1" min="11" max="11" width="19.25"/>
    <col customWidth="1" min="12" max="12" width="15.63"/>
  </cols>
  <sheetData>
    <row r="1" ht="15.75" customHeight="1">
      <c r="A1" s="173" t="s">
        <v>259</v>
      </c>
      <c r="B1" s="173" t="s">
        <v>260</v>
      </c>
      <c r="C1" s="173" t="s">
        <v>261</v>
      </c>
      <c r="D1" s="173" t="s">
        <v>262</v>
      </c>
      <c r="E1" s="173" t="s">
        <v>263</v>
      </c>
      <c r="F1" s="173" t="s">
        <v>264</v>
      </c>
      <c r="G1" s="173" t="s">
        <v>265</v>
      </c>
      <c r="H1" s="174" t="s">
        <v>266</v>
      </c>
      <c r="I1" s="175" t="s">
        <v>267</v>
      </c>
      <c r="J1" s="176" t="s">
        <v>268</v>
      </c>
      <c r="K1" s="173"/>
      <c r="L1" s="177"/>
      <c r="M1" s="177"/>
      <c r="N1" s="178"/>
      <c r="O1" s="178"/>
      <c r="P1" s="178"/>
      <c r="Q1" s="178"/>
      <c r="R1" s="178"/>
      <c r="S1" s="178"/>
      <c r="T1" s="178"/>
      <c r="U1" s="178"/>
      <c r="V1" s="178"/>
      <c r="W1" s="178"/>
      <c r="X1" s="178"/>
    </row>
    <row r="2" ht="15.75" customHeight="1">
      <c r="A2" s="4" t="s">
        <v>269</v>
      </c>
      <c r="B2" s="179" t="s">
        <v>270</v>
      </c>
      <c r="C2" s="180"/>
      <c r="D2" s="179">
        <v>15.0</v>
      </c>
      <c r="E2" s="181">
        <v>824.45</v>
      </c>
      <c r="F2" s="181">
        <f t="shared" ref="F2:F3" si="1">E2*D2</f>
        <v>12366.75</v>
      </c>
      <c r="G2" s="182">
        <v>1650.0</v>
      </c>
      <c r="H2" s="183">
        <f t="shared" ref="H2:H3" si="2">D2*G2</f>
        <v>24750</v>
      </c>
      <c r="I2" s="184">
        <f>H2-(D2*E2)</f>
        <v>12383.25</v>
      </c>
      <c r="J2" s="185">
        <f t="shared" ref="J2:J3" si="3">(H2-F2)/H2</f>
        <v>0.5003333333</v>
      </c>
      <c r="K2" s="186"/>
      <c r="L2" s="177"/>
      <c r="M2" s="180"/>
      <c r="N2" s="180"/>
      <c r="O2" s="180"/>
      <c r="P2" s="180"/>
      <c r="Q2" s="180"/>
      <c r="R2" s="180"/>
      <c r="S2" s="180"/>
      <c r="T2" s="180"/>
      <c r="U2" s="180"/>
      <c r="V2" s="180"/>
      <c r="W2" s="180"/>
      <c r="X2" s="180"/>
    </row>
    <row r="3" ht="15.75" customHeight="1">
      <c r="A3" s="4" t="s">
        <v>271</v>
      </c>
      <c r="B3" s="179" t="s">
        <v>270</v>
      </c>
      <c r="C3" s="187"/>
      <c r="D3" s="188">
        <v>5200.0</v>
      </c>
      <c r="E3" s="189">
        <v>19.84</v>
      </c>
      <c r="F3" s="189">
        <f t="shared" si="1"/>
        <v>103168</v>
      </c>
      <c r="G3" s="182">
        <v>30.0</v>
      </c>
      <c r="H3" s="183">
        <f t="shared" si="2"/>
        <v>156000</v>
      </c>
      <c r="I3" s="184">
        <f>H3-F3</f>
        <v>52832</v>
      </c>
      <c r="J3" s="185">
        <f t="shared" si="3"/>
        <v>0.3386666667</v>
      </c>
      <c r="K3" s="190"/>
      <c r="L3" s="177"/>
      <c r="M3" s="180"/>
      <c r="N3" s="180"/>
      <c r="O3" s="180"/>
      <c r="P3" s="180"/>
      <c r="Q3" s="180"/>
      <c r="R3" s="180"/>
      <c r="S3" s="180"/>
      <c r="T3" s="180"/>
      <c r="U3" s="180"/>
      <c r="V3" s="180"/>
      <c r="W3" s="180"/>
      <c r="X3" s="180"/>
    </row>
    <row r="4" ht="15.75" customHeight="1">
      <c r="A4" s="4"/>
      <c r="B4" s="180"/>
      <c r="C4" s="180"/>
      <c r="D4" s="177"/>
      <c r="E4" s="181"/>
      <c r="F4" s="191">
        <f>F2+F3</f>
        <v>115534.75</v>
      </c>
      <c r="G4" s="192"/>
      <c r="H4" s="191">
        <f>H2+H3</f>
        <v>180750</v>
      </c>
      <c r="I4" s="193"/>
      <c r="J4" s="194"/>
      <c r="K4" s="190"/>
      <c r="L4" s="178"/>
      <c r="M4" s="195"/>
      <c r="N4" s="195"/>
      <c r="O4" s="195"/>
      <c r="P4" s="195"/>
      <c r="Q4" s="195"/>
      <c r="R4" s="195"/>
      <c r="S4" s="195"/>
      <c r="T4" s="195"/>
      <c r="U4" s="195"/>
      <c r="V4" s="195"/>
      <c r="W4" s="195"/>
      <c r="X4" s="195"/>
    </row>
    <row r="5" ht="15.75" customHeight="1">
      <c r="A5" s="4"/>
      <c r="B5" s="180"/>
      <c r="C5" s="196"/>
      <c r="D5" s="187"/>
      <c r="E5" s="181"/>
      <c r="F5" s="181"/>
      <c r="G5" s="192"/>
      <c r="H5" s="183"/>
      <c r="I5" s="197"/>
      <c r="J5" s="198"/>
      <c r="K5" s="190"/>
      <c r="L5" s="177"/>
      <c r="M5" s="180"/>
      <c r="N5" s="180"/>
      <c r="O5" s="180"/>
      <c r="P5" s="180"/>
      <c r="Q5" s="180"/>
      <c r="R5" s="180"/>
      <c r="S5" s="180"/>
      <c r="T5" s="180"/>
      <c r="U5" s="180"/>
      <c r="V5" s="180"/>
      <c r="W5" s="180"/>
      <c r="X5" s="180"/>
    </row>
    <row r="6" ht="15.75" customHeight="1">
      <c r="A6" s="173" t="s">
        <v>259</v>
      </c>
      <c r="B6" s="173" t="s">
        <v>260</v>
      </c>
      <c r="C6" s="173" t="s">
        <v>261</v>
      </c>
      <c r="D6" s="173"/>
      <c r="E6" s="173" t="s">
        <v>272</v>
      </c>
      <c r="F6" s="173" t="s">
        <v>264</v>
      </c>
      <c r="G6" s="199" t="s">
        <v>273</v>
      </c>
      <c r="H6" s="174" t="s">
        <v>274</v>
      </c>
      <c r="I6" s="175" t="s">
        <v>267</v>
      </c>
      <c r="J6" s="176" t="s">
        <v>268</v>
      </c>
      <c r="K6" s="173"/>
      <c r="L6" s="177"/>
      <c r="M6" s="180"/>
      <c r="N6" s="180"/>
      <c r="O6" s="180"/>
      <c r="P6" s="180"/>
      <c r="Q6" s="180"/>
      <c r="R6" s="180"/>
      <c r="S6" s="180"/>
      <c r="T6" s="180"/>
      <c r="U6" s="180"/>
      <c r="V6" s="180"/>
      <c r="W6" s="180"/>
      <c r="X6" s="180"/>
    </row>
    <row r="7" ht="15.75" customHeight="1">
      <c r="A7" s="4" t="s">
        <v>275</v>
      </c>
      <c r="B7" s="180" t="s">
        <v>276</v>
      </c>
      <c r="C7" s="200">
        <v>500.0</v>
      </c>
      <c r="D7" s="180"/>
      <c r="E7" s="181">
        <v>517.34</v>
      </c>
      <c r="F7" s="181">
        <f t="shared" ref="F7:F10" si="4">C7*E7</f>
        <v>258670</v>
      </c>
      <c r="G7" s="201">
        <v>22.37</v>
      </c>
      <c r="H7" s="183">
        <f>C7*I14/1.1</f>
        <v>358672.4455</v>
      </c>
      <c r="I7" s="184">
        <f t="shared" ref="I7:I11" si="5">H7-(F7)</f>
        <v>100002.4455</v>
      </c>
      <c r="J7" s="185">
        <f t="shared" ref="J7:J10" si="6">(H7-F7)/H7</f>
        <v>0.2788127349</v>
      </c>
      <c r="K7" s="202"/>
      <c r="L7" s="178"/>
      <c r="M7" s="195"/>
      <c r="N7" s="195"/>
      <c r="O7" s="195"/>
      <c r="P7" s="195"/>
      <c r="Q7" s="195"/>
      <c r="R7" s="195"/>
      <c r="S7" s="195"/>
      <c r="T7" s="195"/>
      <c r="U7" s="195"/>
      <c r="V7" s="195"/>
      <c r="W7" s="195"/>
      <c r="X7" s="195"/>
    </row>
    <row r="8" ht="15.75" customHeight="1">
      <c r="A8" s="4" t="s">
        <v>275</v>
      </c>
      <c r="B8" s="180" t="s">
        <v>277</v>
      </c>
      <c r="C8" s="200">
        <v>500.0</v>
      </c>
      <c r="D8" s="180"/>
      <c r="E8" s="181">
        <v>517.34</v>
      </c>
      <c r="F8" s="181">
        <f t="shared" si="4"/>
        <v>258670</v>
      </c>
      <c r="G8" s="201">
        <v>22.37</v>
      </c>
      <c r="H8" s="183">
        <f>C8*I14/1.1</f>
        <v>358672.4455</v>
      </c>
      <c r="I8" s="184">
        <f t="shared" si="5"/>
        <v>100002.4455</v>
      </c>
      <c r="J8" s="185">
        <f t="shared" si="6"/>
        <v>0.2788127349</v>
      </c>
      <c r="K8" s="192"/>
      <c r="L8" s="178"/>
      <c r="M8" s="195"/>
      <c r="N8" s="195"/>
      <c r="O8" s="195"/>
      <c r="P8" s="195"/>
      <c r="Q8" s="195"/>
      <c r="R8" s="195"/>
      <c r="S8" s="195"/>
      <c r="T8" s="195"/>
      <c r="U8" s="195"/>
      <c r="V8" s="195"/>
      <c r="W8" s="195"/>
      <c r="X8" s="195"/>
    </row>
    <row r="9" ht="15.75" customHeight="1">
      <c r="A9" s="4" t="s">
        <v>275</v>
      </c>
      <c r="B9" s="180" t="s">
        <v>276</v>
      </c>
      <c r="C9" s="203">
        <v>91.913</v>
      </c>
      <c r="D9" s="180"/>
      <c r="E9" s="204">
        <v>535.0</v>
      </c>
      <c r="F9" s="181">
        <f t="shared" si="4"/>
        <v>49173.455</v>
      </c>
      <c r="G9" s="201">
        <v>22.37</v>
      </c>
      <c r="H9" s="205">
        <v>55355.55</v>
      </c>
      <c r="I9" s="184">
        <f t="shared" si="5"/>
        <v>6182.095</v>
      </c>
      <c r="J9" s="185">
        <f t="shared" si="6"/>
        <v>0.1116797683</v>
      </c>
      <c r="K9" s="192"/>
      <c r="L9" s="178"/>
      <c r="M9" s="195"/>
      <c r="N9" s="195"/>
      <c r="O9" s="195"/>
      <c r="P9" s="195"/>
      <c r="Q9" s="195"/>
      <c r="R9" s="195"/>
      <c r="S9" s="195"/>
      <c r="T9" s="195"/>
      <c r="U9" s="195"/>
      <c r="V9" s="195"/>
      <c r="W9" s="195"/>
      <c r="X9" s="195"/>
    </row>
    <row r="10" ht="15.75" customHeight="1">
      <c r="A10" s="3" t="s">
        <v>278</v>
      </c>
      <c r="B10" s="180" t="s">
        <v>276</v>
      </c>
      <c r="C10" s="206">
        <v>1.08</v>
      </c>
      <c r="D10" s="180"/>
      <c r="E10" s="204">
        <v>46300.0</v>
      </c>
      <c r="F10" s="181">
        <f t="shared" si="4"/>
        <v>50004</v>
      </c>
      <c r="G10" s="207">
        <v>1866.0</v>
      </c>
      <c r="H10" s="205">
        <v>52224.14</v>
      </c>
      <c r="I10" s="184">
        <f t="shared" si="5"/>
        <v>2220.14</v>
      </c>
      <c r="J10" s="185">
        <f t="shared" si="6"/>
        <v>0.04251175797</v>
      </c>
      <c r="K10" s="192"/>
      <c r="L10" s="178"/>
      <c r="M10" s="195"/>
      <c r="N10" s="195"/>
      <c r="O10" s="195"/>
      <c r="P10" s="195"/>
      <c r="Q10" s="195"/>
      <c r="R10" s="195"/>
      <c r="S10" s="195"/>
      <c r="T10" s="195"/>
      <c r="U10" s="195"/>
      <c r="V10" s="195"/>
      <c r="W10" s="195"/>
      <c r="X10" s="195"/>
    </row>
    <row r="11" ht="15.75" customHeight="1">
      <c r="A11" s="195" t="s">
        <v>122</v>
      </c>
      <c r="B11" s="195"/>
      <c r="C11" s="208" t="s">
        <v>279</v>
      </c>
      <c r="D11" s="195"/>
      <c r="E11" s="195"/>
      <c r="F11" s="191">
        <f>sum(F2+F3+F7+F8+F9+F10)</f>
        <v>732052.205</v>
      </c>
      <c r="G11" s="209"/>
      <c r="H11" s="210">
        <f>sum(H7+H8+H4+H9+H10)</f>
        <v>1005674.581</v>
      </c>
      <c r="I11" s="211">
        <f t="shared" si="5"/>
        <v>273622.3759</v>
      </c>
      <c r="J11" s="185"/>
      <c r="K11" s="212"/>
      <c r="L11" s="177"/>
      <c r="M11" s="195"/>
      <c r="N11" s="195"/>
      <c r="O11" s="195"/>
      <c r="P11" s="195"/>
      <c r="Q11" s="195"/>
      <c r="R11" s="195"/>
      <c r="S11" s="195"/>
      <c r="T11" s="195"/>
      <c r="U11" s="195"/>
      <c r="V11" s="195"/>
      <c r="W11" s="195"/>
      <c r="X11" s="195"/>
    </row>
    <row r="12" ht="15.75" customHeight="1">
      <c r="A12" s="180"/>
      <c r="B12" s="180"/>
      <c r="C12" s="177"/>
      <c r="D12" s="180"/>
      <c r="E12" s="180"/>
      <c r="F12" s="195"/>
      <c r="G12" s="180"/>
      <c r="H12" s="195"/>
      <c r="I12" s="197"/>
      <c r="J12" s="198"/>
      <c r="K12" s="180"/>
      <c r="L12" s="180"/>
      <c r="M12" s="180"/>
      <c r="N12" s="180"/>
      <c r="O12" s="180"/>
      <c r="P12" s="180"/>
      <c r="Q12" s="180"/>
      <c r="R12" s="180"/>
      <c r="S12" s="180"/>
      <c r="T12" s="180"/>
      <c r="U12" s="180"/>
      <c r="V12" s="180"/>
      <c r="W12" s="180"/>
      <c r="X12" s="180"/>
    </row>
    <row r="13" ht="15.75" customHeight="1">
      <c r="A13" s="213"/>
      <c r="B13" s="180"/>
      <c r="C13" s="180"/>
      <c r="D13" s="180"/>
      <c r="E13" s="180"/>
      <c r="F13" s="180"/>
      <c r="G13" s="180"/>
      <c r="H13" s="180"/>
      <c r="I13" s="198" t="s">
        <v>280</v>
      </c>
      <c r="J13" s="198" t="s">
        <v>281</v>
      </c>
      <c r="K13" s="214" t="str">
        <f>IFERROR(__xludf.DUMMYFUNCTION("ImportHTML(""https://bullionbypost.co.uk"",""table"",1)"),"")</f>
        <v/>
      </c>
      <c r="L13" s="180" t="str">
        <f>IFERROR(__xludf.DUMMYFUNCTION("""COMPUTED_VALUE"""),"GBP")</f>
        <v>GBP</v>
      </c>
      <c r="M13" s="180" t="str">
        <f>IFERROR(__xludf.DUMMYFUNCTION("""COMPUTED_VALUE"""),"USD")</f>
        <v>USD</v>
      </c>
      <c r="N13" s="180" t="str">
        <f>IFERROR(__xludf.DUMMYFUNCTION("""COMPUTED_VALUE"""),"EUR")</f>
        <v>EUR</v>
      </c>
      <c r="O13" s="180"/>
      <c r="P13" s="180"/>
      <c r="Q13" s="180"/>
      <c r="R13" s="180"/>
      <c r="S13" s="180"/>
      <c r="T13" s="180"/>
      <c r="U13" s="180"/>
      <c r="V13" s="180"/>
      <c r="W13" s="180"/>
      <c r="X13" s="180"/>
    </row>
    <row r="14" ht="15.75" customHeight="1">
      <c r="A14" s="173" t="s">
        <v>259</v>
      </c>
      <c r="B14" s="173" t="s">
        <v>260</v>
      </c>
      <c r="C14" s="173"/>
      <c r="D14" s="173" t="s">
        <v>262</v>
      </c>
      <c r="E14" s="173" t="s">
        <v>263</v>
      </c>
      <c r="F14" s="173" t="s">
        <v>264</v>
      </c>
      <c r="G14" s="173" t="s">
        <v>282</v>
      </c>
      <c r="H14" s="173"/>
      <c r="I14" s="215">
        <f t="shared" ref="I14:I15" si="7">G7*35.274</f>
        <v>789.07938</v>
      </c>
      <c r="J14" s="198" t="s">
        <v>283</v>
      </c>
      <c r="K14" s="173" t="str">
        <f>IFERROR(__xludf.DUMMYFUNCTION("""COMPUTED_VALUE"""),"Gold")</f>
        <v>Gold</v>
      </c>
      <c r="L14" s="216" t="str">
        <f>IFERROR(__xludf.DUMMYFUNCTION("""COMPUTED_VALUE"""),"£1,552.19")</f>
        <v>£1,552.19</v>
      </c>
      <c r="M14" s="217">
        <f>IFERROR(__xludf.DUMMYFUNCTION("""COMPUTED_VALUE"""),1867.54)</f>
        <v>1867.54</v>
      </c>
      <c r="N14" s="218">
        <f>IFERROR(__xludf.DUMMYFUNCTION("""COMPUTED_VALUE"""),1755.6)</f>
        <v>1755.6</v>
      </c>
      <c r="O14" s="180"/>
      <c r="P14" s="180"/>
      <c r="Q14" s="180"/>
      <c r="R14" s="180"/>
      <c r="S14" s="180"/>
      <c r="T14" s="180"/>
      <c r="U14" s="180"/>
      <c r="V14" s="180"/>
      <c r="W14" s="180"/>
      <c r="X14" s="180"/>
    </row>
    <row r="15" ht="15.75" customHeight="1">
      <c r="A15" s="180"/>
      <c r="B15" s="180"/>
      <c r="C15" s="180"/>
      <c r="D15" s="180"/>
      <c r="E15" s="180"/>
      <c r="F15" s="180"/>
      <c r="G15" s="180"/>
      <c r="H15" s="180"/>
      <c r="I15" s="219">
        <f t="shared" si="7"/>
        <v>789.07938</v>
      </c>
      <c r="J15" s="198" t="s">
        <v>284</v>
      </c>
      <c r="K15" s="180" t="str">
        <f>IFERROR(__xludf.DUMMYFUNCTION("""COMPUTED_VALUE"""),"Silver")</f>
        <v>Silver</v>
      </c>
      <c r="L15" s="180" t="str">
        <f>IFERROR(__xludf.DUMMYFUNCTION("""COMPUTED_VALUE"""),"£17.09")</f>
        <v>£17.09</v>
      </c>
      <c r="M15" s="217">
        <f>IFERROR(__xludf.DUMMYFUNCTION("""COMPUTED_VALUE"""),20.55)</f>
        <v>20.55</v>
      </c>
      <c r="N15" s="218">
        <f>IFERROR(__xludf.DUMMYFUNCTION("""COMPUTED_VALUE"""),19.34)</f>
        <v>19.34</v>
      </c>
      <c r="O15" s="180"/>
      <c r="P15" s="180"/>
      <c r="Q15" s="180"/>
      <c r="R15" s="180"/>
      <c r="S15" s="180"/>
      <c r="T15" s="180"/>
      <c r="U15" s="180"/>
      <c r="V15" s="180"/>
      <c r="W15" s="180"/>
      <c r="X15" s="180"/>
    </row>
    <row r="16" ht="15.75" customHeight="1">
      <c r="A16" s="220" t="s">
        <v>285</v>
      </c>
      <c r="B16" s="180"/>
      <c r="C16" s="221" t="s">
        <v>286</v>
      </c>
      <c r="D16" s="180"/>
      <c r="E16" s="180"/>
      <c r="F16" s="180"/>
      <c r="G16" s="180"/>
      <c r="H16" s="180"/>
      <c r="I16" s="215">
        <f>G11*35.274</f>
        <v>0</v>
      </c>
      <c r="J16" s="198" t="s">
        <v>287</v>
      </c>
      <c r="K16" s="180" t="str">
        <f>IFERROR(__xludf.DUMMYFUNCTION("""COMPUTED_VALUE"""),"Platinum")</f>
        <v>Platinum</v>
      </c>
      <c r="L16" s="180" t="str">
        <f>IFERROR(__xludf.DUMMYFUNCTION("""COMPUTED_VALUE"""),"£807.58")</f>
        <v>£807.58</v>
      </c>
      <c r="M16" s="217">
        <f>IFERROR(__xludf.DUMMYFUNCTION("""COMPUTED_VALUE"""),971.92)</f>
        <v>971.92</v>
      </c>
      <c r="N16" s="218">
        <f>IFERROR(__xludf.DUMMYFUNCTION("""COMPUTED_VALUE"""),912.17)</f>
        <v>912.17</v>
      </c>
      <c r="O16" s="180"/>
      <c r="P16" s="180"/>
      <c r="Q16" s="180"/>
      <c r="R16" s="180"/>
      <c r="S16" s="180"/>
      <c r="T16" s="180"/>
      <c r="U16" s="180"/>
      <c r="V16" s="180"/>
      <c r="W16" s="180"/>
      <c r="X16" s="180"/>
    </row>
    <row r="17" ht="15.75" customHeight="1">
      <c r="A17" s="222" t="s">
        <v>288</v>
      </c>
      <c r="B17" s="180"/>
      <c r="C17" s="180"/>
      <c r="D17" s="180"/>
      <c r="E17" s="180"/>
      <c r="F17" s="180"/>
      <c r="G17" s="223" t="s">
        <v>289</v>
      </c>
      <c r="H17" s="223"/>
      <c r="I17" s="215">
        <f>G10*35.274</f>
        <v>65821.284</v>
      </c>
      <c r="J17" s="198" t="s">
        <v>283</v>
      </c>
      <c r="K17" s="180"/>
      <c r="L17" s="180"/>
      <c r="M17" s="180"/>
      <c r="N17" s="180"/>
      <c r="O17" s="180"/>
      <c r="P17" s="180"/>
      <c r="Q17" s="180"/>
      <c r="R17" s="180"/>
      <c r="S17" s="180"/>
      <c r="T17" s="180"/>
      <c r="U17" s="180"/>
      <c r="V17" s="180"/>
      <c r="W17" s="180"/>
      <c r="X17" s="180"/>
    </row>
    <row r="18" ht="15.75" customHeight="1">
      <c r="A18" s="220" t="s">
        <v>290</v>
      </c>
      <c r="B18" s="224" t="s">
        <v>15</v>
      </c>
      <c r="C18" s="180"/>
      <c r="D18" s="180"/>
      <c r="E18" s="180"/>
      <c r="F18" s="180"/>
      <c r="G18" s="180"/>
      <c r="H18" s="180"/>
      <c r="I18" s="180"/>
      <c r="J18" s="180"/>
      <c r="K18" s="180"/>
      <c r="L18" s="180"/>
      <c r="M18" s="180"/>
      <c r="N18" s="180"/>
      <c r="O18" s="180"/>
      <c r="P18" s="180"/>
      <c r="Q18" s="180"/>
      <c r="R18" s="180"/>
      <c r="S18" s="180"/>
      <c r="T18" s="180"/>
      <c r="U18" s="180"/>
      <c r="V18" s="180"/>
      <c r="W18" s="180"/>
      <c r="X18" s="180"/>
    </row>
    <row r="19" ht="15.75" customHeight="1">
      <c r="A19" s="225" t="s">
        <v>291</v>
      </c>
      <c r="B19" s="226" t="s">
        <v>19</v>
      </c>
      <c r="C19" s="180"/>
      <c r="D19" s="180"/>
      <c r="E19" s="180"/>
      <c r="F19" s="180"/>
      <c r="G19" s="180"/>
      <c r="H19" s="180"/>
      <c r="I19" s="180"/>
      <c r="J19" s="180"/>
      <c r="K19" s="180"/>
      <c r="L19" s="180"/>
      <c r="M19" s="180"/>
      <c r="N19" s="180"/>
      <c r="O19" s="180"/>
      <c r="P19" s="180"/>
      <c r="Q19" s="180"/>
      <c r="R19" s="180"/>
      <c r="S19" s="180"/>
      <c r="T19" s="180"/>
      <c r="U19" s="180"/>
      <c r="V19" s="180"/>
      <c r="W19" s="180"/>
      <c r="X19" s="180"/>
    </row>
    <row r="20" ht="15.75" customHeight="1">
      <c r="A20" s="220"/>
      <c r="B20" s="180"/>
      <c r="C20" s="180"/>
      <c r="D20" s="180"/>
      <c r="E20" s="180"/>
      <c r="F20" s="180"/>
      <c r="G20" s="180"/>
      <c r="H20" s="180"/>
      <c r="I20" s="180"/>
      <c r="J20" s="180"/>
      <c r="K20" s="180"/>
      <c r="L20" s="180"/>
      <c r="M20" s="180"/>
      <c r="N20" s="180"/>
      <c r="O20" s="180"/>
      <c r="P20" s="180"/>
      <c r="Q20" s="180"/>
      <c r="R20" s="180"/>
      <c r="S20" s="180"/>
      <c r="T20" s="180"/>
      <c r="U20" s="180"/>
      <c r="V20" s="180"/>
      <c r="W20" s="180"/>
      <c r="X20" s="180"/>
    </row>
    <row r="21" ht="15.75" customHeight="1">
      <c r="A21" s="220" t="s">
        <v>292</v>
      </c>
      <c r="B21" s="180"/>
      <c r="C21" s="180"/>
      <c r="D21" s="180"/>
      <c r="E21" s="180"/>
      <c r="F21" s="180"/>
      <c r="G21" s="180"/>
      <c r="H21" s="180"/>
      <c r="I21" s="180"/>
      <c r="J21" s="180"/>
      <c r="K21" s="180"/>
      <c r="L21" s="180"/>
      <c r="M21" s="180"/>
      <c r="N21" s="180"/>
      <c r="O21" s="180"/>
      <c r="P21" s="180"/>
      <c r="Q21" s="180"/>
      <c r="R21" s="180"/>
      <c r="S21" s="180"/>
      <c r="T21" s="180"/>
      <c r="U21" s="180"/>
      <c r="V21" s="180"/>
      <c r="W21" s="180"/>
      <c r="X21" s="180"/>
    </row>
    <row r="22" ht="15.75" customHeight="1">
      <c r="A22" s="180"/>
      <c r="B22" s="180"/>
      <c r="C22" s="180"/>
      <c r="D22" s="180"/>
      <c r="E22" s="180"/>
      <c r="F22" s="180"/>
      <c r="G22" s="180"/>
      <c r="H22" s="180"/>
      <c r="I22" s="180"/>
      <c r="J22" s="180"/>
      <c r="K22" s="180"/>
      <c r="L22" s="180"/>
      <c r="M22" s="180"/>
      <c r="N22" s="180"/>
      <c r="O22" s="180"/>
      <c r="P22" s="180"/>
      <c r="Q22" s="180"/>
      <c r="R22" s="180"/>
      <c r="S22" s="180"/>
      <c r="T22" s="180"/>
      <c r="U22" s="180"/>
      <c r="V22" s="180"/>
      <c r="W22" s="180"/>
      <c r="X22" s="180"/>
    </row>
    <row r="23" ht="15.75" customHeight="1">
      <c r="A23" s="227" t="s">
        <v>293</v>
      </c>
      <c r="B23" s="180"/>
      <c r="C23" s="180"/>
      <c r="D23" s="180"/>
      <c r="E23" s="180"/>
      <c r="F23" s="180"/>
      <c r="G23" s="180"/>
      <c r="H23" s="180"/>
      <c r="I23" s="180"/>
      <c r="J23" s="180"/>
      <c r="K23" s="180"/>
      <c r="L23" s="180"/>
      <c r="M23" s="180"/>
      <c r="N23" s="180"/>
      <c r="O23" s="180"/>
      <c r="P23" s="180"/>
      <c r="Q23" s="180"/>
      <c r="R23" s="180"/>
      <c r="S23" s="180"/>
      <c r="T23" s="180"/>
      <c r="U23" s="180"/>
      <c r="V23" s="180"/>
      <c r="W23" s="180"/>
      <c r="X23" s="180"/>
    </row>
    <row r="24" ht="15.75" customHeight="1">
      <c r="A24" s="228" t="s">
        <v>294</v>
      </c>
      <c r="B24" s="180"/>
      <c r="C24" s="180"/>
      <c r="D24" s="180"/>
      <c r="E24" s="180"/>
      <c r="F24" s="180"/>
      <c r="G24" s="180"/>
      <c r="H24" s="180"/>
      <c r="I24" s="180"/>
      <c r="J24" s="180"/>
      <c r="K24" s="180"/>
      <c r="L24" s="180"/>
      <c r="M24" s="180"/>
      <c r="N24" s="180"/>
      <c r="O24" s="180"/>
      <c r="P24" s="180"/>
      <c r="Q24" s="180"/>
      <c r="R24" s="180"/>
      <c r="S24" s="180"/>
      <c r="T24" s="180"/>
      <c r="U24" s="180"/>
      <c r="V24" s="180"/>
      <c r="W24" s="180"/>
      <c r="X24" s="180"/>
    </row>
    <row r="25" ht="15.75" customHeight="1">
      <c r="A25" s="228" t="s">
        <v>295</v>
      </c>
      <c r="B25" s="180"/>
      <c r="C25" s="180"/>
      <c r="D25" s="180"/>
      <c r="E25" s="180"/>
      <c r="F25" s="180"/>
      <c r="G25" s="180"/>
      <c r="H25" s="180"/>
      <c r="I25" s="180"/>
      <c r="J25" s="180"/>
      <c r="K25" s="180"/>
      <c r="L25" s="180"/>
      <c r="M25" s="180"/>
      <c r="N25" s="180"/>
      <c r="O25" s="180"/>
      <c r="P25" s="180"/>
      <c r="Q25" s="180"/>
      <c r="R25" s="180"/>
      <c r="S25" s="180"/>
      <c r="T25" s="180"/>
      <c r="U25" s="180"/>
      <c r="V25" s="180"/>
      <c r="W25" s="180"/>
      <c r="X25" s="180"/>
    </row>
    <row r="26" ht="15.75" customHeight="1">
      <c r="B26" s="180"/>
      <c r="C26" s="180"/>
      <c r="D26" s="180"/>
      <c r="E26" s="180"/>
      <c r="F26" s="180"/>
      <c r="G26" s="180"/>
      <c r="H26" s="180"/>
      <c r="I26" s="180"/>
      <c r="J26" s="180"/>
      <c r="K26" s="180"/>
      <c r="L26" s="180"/>
      <c r="M26" s="180"/>
      <c r="N26" s="180"/>
      <c r="O26" s="180"/>
      <c r="P26" s="180"/>
      <c r="Q26" s="180"/>
      <c r="R26" s="180"/>
      <c r="S26" s="180"/>
      <c r="T26" s="180"/>
      <c r="U26" s="180"/>
      <c r="V26" s="180"/>
      <c r="W26" s="180"/>
      <c r="X26" s="180"/>
    </row>
    <row r="27" ht="15.75" customHeight="1">
      <c r="A27" s="229"/>
      <c r="B27" s="180"/>
      <c r="C27" s="180"/>
      <c r="D27" s="180"/>
      <c r="E27" s="180"/>
      <c r="F27" s="180"/>
      <c r="G27" s="180"/>
      <c r="H27" s="180"/>
      <c r="I27" s="180"/>
      <c r="J27" s="180"/>
      <c r="K27" s="180"/>
      <c r="L27" s="180"/>
      <c r="M27" s="180"/>
      <c r="N27" s="180"/>
      <c r="O27" s="180"/>
      <c r="P27" s="180"/>
      <c r="Q27" s="180"/>
      <c r="R27" s="180"/>
      <c r="S27" s="180"/>
      <c r="T27" s="180"/>
      <c r="U27" s="180"/>
      <c r="V27" s="180"/>
      <c r="W27" s="180"/>
      <c r="X27" s="180"/>
    </row>
    <row r="28" ht="15.75" customHeight="1">
      <c r="A28" s="180"/>
      <c r="B28" s="180"/>
      <c r="C28" s="180"/>
      <c r="D28" s="180"/>
      <c r="E28" s="180"/>
      <c r="F28" s="180"/>
      <c r="G28" s="180"/>
      <c r="H28" s="180"/>
      <c r="I28" s="180"/>
      <c r="J28" s="180"/>
      <c r="K28" s="180"/>
      <c r="L28" s="180"/>
      <c r="M28" s="180"/>
      <c r="N28" s="180"/>
      <c r="O28" s="180"/>
      <c r="P28" s="180"/>
      <c r="Q28" s="180"/>
      <c r="R28" s="180"/>
      <c r="S28" s="180"/>
      <c r="T28" s="180"/>
      <c r="U28" s="180"/>
      <c r="V28" s="180"/>
      <c r="W28" s="180"/>
      <c r="X28" s="180"/>
    </row>
    <row r="29" ht="15.75" customHeight="1">
      <c r="A29" s="230"/>
      <c r="B29" s="180"/>
      <c r="C29" s="180"/>
      <c r="D29" s="180"/>
      <c r="E29" s="180"/>
      <c r="F29" s="180"/>
      <c r="G29" s="180"/>
      <c r="H29" s="180"/>
      <c r="I29" s="180"/>
      <c r="J29" s="180"/>
      <c r="K29" s="180"/>
      <c r="L29" s="180"/>
      <c r="M29" s="180"/>
      <c r="N29" s="180"/>
      <c r="O29" s="180"/>
      <c r="P29" s="180"/>
      <c r="Q29" s="180"/>
      <c r="R29" s="180"/>
      <c r="S29" s="180"/>
      <c r="T29" s="180"/>
      <c r="U29" s="180"/>
      <c r="V29" s="180"/>
      <c r="W29" s="180"/>
      <c r="X29" s="180"/>
    </row>
    <row r="30" ht="15.75" customHeight="1">
      <c r="A30" s="230"/>
      <c r="B30" s="180"/>
      <c r="C30" s="180"/>
      <c r="D30" s="180"/>
      <c r="E30" s="180"/>
      <c r="F30" s="180"/>
      <c r="G30" s="180"/>
      <c r="H30" s="180"/>
      <c r="I30" s="180"/>
      <c r="J30" s="180"/>
      <c r="K30" s="180"/>
      <c r="L30" s="180"/>
      <c r="M30" s="180"/>
      <c r="N30" s="180"/>
      <c r="O30" s="180"/>
      <c r="P30" s="180"/>
      <c r="Q30" s="180"/>
      <c r="R30" s="180"/>
      <c r="S30" s="180"/>
      <c r="T30" s="180"/>
      <c r="U30" s="180"/>
      <c r="V30" s="180"/>
      <c r="W30" s="180"/>
      <c r="X30" s="180"/>
    </row>
    <row r="31" ht="15.75" customHeight="1">
      <c r="A31" s="180"/>
      <c r="B31" s="180"/>
      <c r="C31" s="180"/>
      <c r="D31" s="180"/>
      <c r="E31" s="180"/>
      <c r="F31" s="180"/>
      <c r="G31" s="180"/>
      <c r="H31" s="180"/>
      <c r="I31" s="180"/>
      <c r="J31" s="180"/>
      <c r="K31" s="180"/>
      <c r="L31" s="180"/>
      <c r="M31" s="180"/>
      <c r="N31" s="180"/>
      <c r="O31" s="180"/>
      <c r="P31" s="180"/>
      <c r="Q31" s="180"/>
      <c r="R31" s="180"/>
      <c r="S31" s="180"/>
      <c r="T31" s="180"/>
      <c r="U31" s="180"/>
      <c r="V31" s="180"/>
      <c r="W31" s="180"/>
      <c r="X31" s="180"/>
    </row>
    <row r="32" ht="15.75" customHeight="1">
      <c r="A32" s="180"/>
      <c r="B32" s="180"/>
      <c r="C32" s="180"/>
      <c r="D32" s="180"/>
      <c r="E32" s="180"/>
      <c r="F32" s="180"/>
      <c r="G32" s="180"/>
      <c r="H32" s="180"/>
      <c r="I32" s="180"/>
      <c r="J32" s="180"/>
      <c r="K32" s="180"/>
      <c r="L32" s="180"/>
      <c r="M32" s="180"/>
      <c r="N32" s="180"/>
      <c r="O32" s="180"/>
      <c r="P32" s="180"/>
      <c r="Q32" s="180"/>
      <c r="R32" s="180"/>
      <c r="S32" s="180"/>
      <c r="T32" s="180"/>
      <c r="U32" s="180"/>
      <c r="V32" s="180"/>
      <c r="W32" s="180"/>
      <c r="X32" s="180"/>
    </row>
    <row r="33" ht="15.75" customHeight="1">
      <c r="A33" s="180"/>
      <c r="B33" s="180"/>
      <c r="C33" s="180"/>
      <c r="D33" s="180"/>
      <c r="E33" s="180"/>
      <c r="F33" s="180"/>
      <c r="G33" s="180"/>
      <c r="H33" s="180"/>
      <c r="I33" s="180"/>
      <c r="J33" s="180"/>
      <c r="K33" s="180"/>
      <c r="L33" s="180"/>
      <c r="M33" s="180"/>
      <c r="N33" s="180"/>
      <c r="O33" s="180"/>
      <c r="P33" s="180"/>
      <c r="Q33" s="180"/>
      <c r="R33" s="180"/>
      <c r="S33" s="180"/>
      <c r="T33" s="180"/>
      <c r="U33" s="180"/>
      <c r="V33" s="180"/>
      <c r="W33" s="180"/>
      <c r="X33" s="180"/>
    </row>
    <row r="34" ht="15.75" customHeight="1">
      <c r="A34" s="180"/>
      <c r="B34" s="180"/>
      <c r="C34" s="180"/>
      <c r="D34" s="180"/>
      <c r="E34" s="180"/>
      <c r="F34" s="180"/>
      <c r="G34" s="180"/>
      <c r="H34" s="180"/>
      <c r="I34" s="180"/>
      <c r="J34" s="180"/>
      <c r="K34" s="180"/>
      <c r="L34" s="180"/>
      <c r="M34" s="180"/>
      <c r="N34" s="180"/>
      <c r="O34" s="180"/>
      <c r="P34" s="180"/>
      <c r="Q34" s="180"/>
      <c r="R34" s="180"/>
      <c r="S34" s="180"/>
      <c r="T34" s="180"/>
      <c r="U34" s="180"/>
      <c r="V34" s="180"/>
      <c r="W34" s="180"/>
      <c r="X34" s="180"/>
    </row>
    <row r="35" ht="15.75" customHeight="1">
      <c r="A35" s="180"/>
      <c r="B35" s="180"/>
      <c r="C35" s="180"/>
      <c r="D35" s="180"/>
      <c r="E35" s="180"/>
      <c r="F35" s="180"/>
      <c r="G35" s="180"/>
      <c r="H35" s="180"/>
      <c r="I35" s="180"/>
      <c r="J35" s="180"/>
      <c r="K35" s="180"/>
      <c r="L35" s="180"/>
      <c r="M35" s="180"/>
      <c r="N35" s="180"/>
      <c r="O35" s="180"/>
      <c r="P35" s="180"/>
      <c r="Q35" s="180"/>
      <c r="R35" s="180"/>
      <c r="S35" s="180"/>
      <c r="T35" s="180"/>
      <c r="U35" s="180"/>
      <c r="V35" s="180"/>
      <c r="W35" s="180"/>
      <c r="X35" s="180"/>
    </row>
    <row r="36" ht="15.75" customHeight="1">
      <c r="A36" s="180"/>
      <c r="B36" s="180"/>
      <c r="C36" s="180"/>
      <c r="D36" s="180"/>
      <c r="E36" s="180"/>
      <c r="F36" s="180"/>
      <c r="G36" s="180"/>
      <c r="H36" s="180"/>
      <c r="I36" s="180"/>
      <c r="J36" s="180"/>
      <c r="K36" s="180"/>
      <c r="L36" s="180"/>
      <c r="M36" s="180"/>
      <c r="N36" s="180"/>
      <c r="O36" s="180"/>
      <c r="P36" s="180"/>
      <c r="Q36" s="180"/>
      <c r="R36" s="180"/>
      <c r="S36" s="180"/>
      <c r="T36" s="180"/>
      <c r="U36" s="180"/>
      <c r="V36" s="180"/>
      <c r="W36" s="180"/>
      <c r="X36" s="180"/>
    </row>
    <row r="37" ht="15.75" customHeight="1">
      <c r="A37" s="180"/>
      <c r="B37" s="180"/>
      <c r="C37" s="180"/>
      <c r="D37" s="180"/>
      <c r="E37" s="180"/>
      <c r="F37" s="180"/>
      <c r="G37" s="180"/>
      <c r="H37" s="180"/>
      <c r="I37" s="180"/>
      <c r="J37" s="180"/>
      <c r="K37" s="180"/>
      <c r="L37" s="180"/>
      <c r="M37" s="180"/>
      <c r="N37" s="180"/>
      <c r="O37" s="180"/>
      <c r="P37" s="180"/>
      <c r="Q37" s="180"/>
      <c r="R37" s="180"/>
      <c r="S37" s="180"/>
      <c r="T37" s="180"/>
      <c r="U37" s="180"/>
      <c r="V37" s="180"/>
      <c r="W37" s="180"/>
      <c r="X37" s="180"/>
    </row>
    <row r="38" ht="15.75" customHeight="1">
      <c r="A38" s="180"/>
      <c r="B38" s="180"/>
      <c r="C38" s="180"/>
      <c r="D38" s="180"/>
      <c r="E38" s="180"/>
      <c r="F38" s="180"/>
      <c r="G38" s="180"/>
      <c r="H38" s="180"/>
      <c r="I38" s="180"/>
      <c r="J38" s="180"/>
      <c r="K38" s="180"/>
      <c r="L38" s="180"/>
      <c r="M38" s="180"/>
      <c r="N38" s="180"/>
      <c r="O38" s="180"/>
      <c r="P38" s="180"/>
      <c r="Q38" s="180"/>
      <c r="R38" s="180"/>
      <c r="S38" s="180"/>
      <c r="T38" s="180"/>
      <c r="U38" s="180"/>
      <c r="V38" s="180"/>
      <c r="W38" s="180"/>
      <c r="X38" s="180"/>
    </row>
    <row r="39" ht="15.75" customHeight="1">
      <c r="A39" s="180"/>
      <c r="B39" s="180"/>
      <c r="C39" s="180"/>
      <c r="D39" s="180"/>
      <c r="E39" s="180"/>
      <c r="F39" s="180"/>
      <c r="G39" s="180"/>
      <c r="H39" s="180"/>
      <c r="I39" s="180"/>
      <c r="J39" s="180"/>
      <c r="K39" s="180"/>
      <c r="L39" s="180"/>
      <c r="M39" s="180"/>
      <c r="N39" s="180"/>
      <c r="O39" s="180"/>
      <c r="P39" s="180"/>
      <c r="Q39" s="180"/>
      <c r="R39" s="180"/>
      <c r="S39" s="180"/>
      <c r="T39" s="180"/>
      <c r="U39" s="180"/>
      <c r="V39" s="180"/>
      <c r="W39" s="180"/>
      <c r="X39" s="180"/>
    </row>
    <row r="40" ht="15.75" customHeight="1">
      <c r="A40" s="180"/>
      <c r="B40" s="180"/>
      <c r="C40" s="180"/>
      <c r="D40" s="180"/>
      <c r="E40" s="180"/>
      <c r="F40" s="180"/>
      <c r="G40" s="180"/>
      <c r="H40" s="180"/>
      <c r="I40" s="180"/>
      <c r="J40" s="180"/>
      <c r="K40" s="180"/>
      <c r="L40" s="180"/>
      <c r="M40" s="180"/>
      <c r="N40" s="180"/>
      <c r="O40" s="180"/>
      <c r="P40" s="180"/>
      <c r="Q40" s="180"/>
      <c r="R40" s="180"/>
      <c r="S40" s="180"/>
      <c r="T40" s="180"/>
      <c r="U40" s="180"/>
      <c r="V40" s="180"/>
      <c r="W40" s="180"/>
      <c r="X40" s="180"/>
    </row>
    <row r="41" ht="15.75" customHeight="1">
      <c r="A41" s="180"/>
      <c r="B41" s="180"/>
      <c r="C41" s="180"/>
      <c r="D41" s="180"/>
      <c r="E41" s="180"/>
      <c r="F41" s="180"/>
      <c r="G41" s="180"/>
      <c r="H41" s="180"/>
      <c r="I41" s="180"/>
      <c r="J41" s="180"/>
      <c r="K41" s="180"/>
      <c r="L41" s="180"/>
      <c r="M41" s="180"/>
      <c r="N41" s="180"/>
      <c r="O41" s="180"/>
      <c r="P41" s="180"/>
      <c r="Q41" s="180"/>
      <c r="R41" s="180"/>
      <c r="S41" s="180"/>
      <c r="T41" s="180"/>
      <c r="U41" s="180"/>
      <c r="V41" s="180"/>
      <c r="W41" s="180"/>
      <c r="X41" s="180"/>
    </row>
    <row r="42" ht="15.75" customHeight="1">
      <c r="A42" s="180"/>
      <c r="B42" s="180"/>
      <c r="C42" s="180"/>
      <c r="D42" s="180"/>
      <c r="E42" s="180"/>
      <c r="F42" s="180"/>
      <c r="G42" s="180"/>
      <c r="H42" s="180"/>
      <c r="I42" s="180"/>
      <c r="J42" s="180"/>
      <c r="K42" s="180"/>
      <c r="L42" s="180"/>
      <c r="M42" s="180"/>
      <c r="N42" s="180"/>
      <c r="O42" s="180"/>
      <c r="P42" s="180"/>
      <c r="Q42" s="180"/>
      <c r="R42" s="180"/>
      <c r="S42" s="180"/>
      <c r="T42" s="180"/>
      <c r="U42" s="180"/>
      <c r="V42" s="180"/>
      <c r="W42" s="180"/>
      <c r="X42" s="180"/>
    </row>
    <row r="43" ht="15.75" customHeight="1">
      <c r="A43" s="180"/>
      <c r="B43" s="180"/>
      <c r="C43" s="180"/>
      <c r="D43" s="180"/>
      <c r="E43" s="180"/>
      <c r="F43" s="180"/>
      <c r="G43" s="180"/>
      <c r="H43" s="180"/>
      <c r="I43" s="180"/>
      <c r="J43" s="180"/>
      <c r="K43" s="180"/>
      <c r="L43" s="180"/>
      <c r="M43" s="180"/>
      <c r="N43" s="180"/>
      <c r="O43" s="180"/>
      <c r="P43" s="180"/>
      <c r="Q43" s="180"/>
      <c r="R43" s="180"/>
      <c r="S43" s="180"/>
      <c r="T43" s="180"/>
      <c r="U43" s="180"/>
      <c r="V43" s="180"/>
      <c r="W43" s="180"/>
      <c r="X43" s="180"/>
    </row>
    <row r="44" ht="15.75" customHeight="1">
      <c r="A44" s="180"/>
      <c r="B44" s="180"/>
      <c r="C44" s="180"/>
      <c r="D44" s="180"/>
      <c r="E44" s="180"/>
      <c r="F44" s="180"/>
      <c r="G44" s="180"/>
      <c r="H44" s="180"/>
      <c r="I44" s="180"/>
      <c r="J44" s="180"/>
      <c r="K44" s="180"/>
      <c r="L44" s="180"/>
      <c r="M44" s="180"/>
      <c r="N44" s="180"/>
      <c r="O44" s="180"/>
      <c r="P44" s="180"/>
      <c r="Q44" s="180"/>
      <c r="R44" s="180"/>
      <c r="S44" s="180"/>
      <c r="T44" s="180"/>
      <c r="U44" s="180"/>
      <c r="V44" s="180"/>
      <c r="W44" s="180"/>
      <c r="X44" s="180"/>
    </row>
    <row r="45" ht="15.75" customHeight="1">
      <c r="A45" s="180"/>
      <c r="B45" s="180"/>
      <c r="C45" s="180"/>
      <c r="D45" s="180"/>
      <c r="E45" s="180"/>
      <c r="F45" s="180"/>
      <c r="G45" s="180"/>
      <c r="H45" s="180"/>
      <c r="I45" s="180"/>
      <c r="J45" s="180"/>
      <c r="K45" s="180"/>
      <c r="L45" s="180"/>
      <c r="M45" s="180"/>
      <c r="N45" s="180"/>
      <c r="O45" s="180"/>
      <c r="P45" s="180"/>
      <c r="Q45" s="180"/>
      <c r="R45" s="180"/>
      <c r="S45" s="180"/>
      <c r="T45" s="180"/>
      <c r="U45" s="180"/>
      <c r="V45" s="180"/>
      <c r="W45" s="180"/>
      <c r="X45" s="180"/>
    </row>
    <row r="46" ht="15.75" customHeight="1">
      <c r="A46" s="180"/>
      <c r="B46" s="180"/>
      <c r="C46" s="180"/>
      <c r="D46" s="180"/>
      <c r="E46" s="180"/>
      <c r="F46" s="180"/>
      <c r="G46" s="180"/>
      <c r="H46" s="180"/>
      <c r="I46" s="180"/>
      <c r="J46" s="180"/>
      <c r="K46" s="180"/>
      <c r="L46" s="180"/>
      <c r="M46" s="180"/>
      <c r="N46" s="180"/>
      <c r="O46" s="180"/>
      <c r="P46" s="180"/>
      <c r="Q46" s="180"/>
      <c r="R46" s="180"/>
      <c r="S46" s="180"/>
      <c r="T46" s="180"/>
      <c r="U46" s="180"/>
      <c r="V46" s="180"/>
      <c r="W46" s="180"/>
      <c r="X46" s="180"/>
    </row>
    <row r="47" ht="15.75" customHeight="1">
      <c r="A47" s="180"/>
      <c r="B47" s="180"/>
      <c r="C47" s="180"/>
      <c r="D47" s="180"/>
      <c r="E47" s="180"/>
      <c r="F47" s="180"/>
      <c r="G47" s="180"/>
      <c r="H47" s="180"/>
      <c r="I47" s="180"/>
      <c r="J47" s="180"/>
      <c r="K47" s="180"/>
      <c r="L47" s="180"/>
      <c r="M47" s="180"/>
      <c r="N47" s="180"/>
      <c r="O47" s="180"/>
      <c r="P47" s="180"/>
      <c r="Q47" s="180"/>
      <c r="R47" s="180"/>
      <c r="S47" s="180"/>
      <c r="T47" s="180"/>
      <c r="U47" s="180"/>
      <c r="V47" s="180"/>
      <c r="W47" s="180"/>
      <c r="X47" s="180"/>
    </row>
    <row r="48" ht="15.75" customHeight="1">
      <c r="A48" s="180"/>
      <c r="B48" s="180"/>
      <c r="C48" s="180"/>
      <c r="D48" s="180"/>
      <c r="E48" s="180"/>
      <c r="F48" s="180"/>
      <c r="G48" s="180"/>
      <c r="H48" s="180"/>
      <c r="I48" s="180"/>
      <c r="J48" s="180"/>
      <c r="K48" s="180"/>
      <c r="L48" s="180"/>
      <c r="M48" s="180"/>
      <c r="N48" s="180"/>
      <c r="O48" s="180"/>
      <c r="P48" s="180"/>
      <c r="Q48" s="180"/>
      <c r="R48" s="180"/>
      <c r="S48" s="180"/>
      <c r="T48" s="180"/>
      <c r="U48" s="180"/>
      <c r="V48" s="180"/>
      <c r="W48" s="180"/>
      <c r="X48" s="180"/>
    </row>
    <row r="49" ht="15.75" customHeight="1">
      <c r="A49" s="180"/>
      <c r="B49" s="180"/>
      <c r="C49" s="180"/>
      <c r="D49" s="180"/>
      <c r="E49" s="180"/>
      <c r="F49" s="180"/>
      <c r="G49" s="180"/>
      <c r="H49" s="180"/>
      <c r="I49" s="180"/>
      <c r="J49" s="180"/>
      <c r="K49" s="180"/>
      <c r="L49" s="180"/>
      <c r="M49" s="180"/>
      <c r="N49" s="180"/>
      <c r="O49" s="180"/>
      <c r="P49" s="180"/>
      <c r="Q49" s="180"/>
      <c r="R49" s="180"/>
      <c r="S49" s="180"/>
      <c r="T49" s="180"/>
      <c r="U49" s="180"/>
      <c r="V49" s="180"/>
      <c r="W49" s="180"/>
      <c r="X49" s="180"/>
    </row>
    <row r="50" ht="15.75" customHeight="1">
      <c r="A50" s="180"/>
      <c r="B50" s="180"/>
      <c r="C50" s="180"/>
      <c r="D50" s="180"/>
      <c r="E50" s="180"/>
      <c r="F50" s="180"/>
      <c r="G50" s="180"/>
      <c r="H50" s="180"/>
      <c r="I50" s="180"/>
      <c r="J50" s="180"/>
      <c r="K50" s="180"/>
      <c r="L50" s="180"/>
      <c r="M50" s="180"/>
      <c r="N50" s="180"/>
      <c r="O50" s="180"/>
      <c r="P50" s="180"/>
      <c r="Q50" s="180"/>
      <c r="R50" s="180"/>
      <c r="S50" s="180"/>
      <c r="T50" s="180"/>
      <c r="U50" s="180"/>
      <c r="V50" s="180"/>
      <c r="W50" s="180"/>
      <c r="X50" s="180"/>
    </row>
    <row r="51" ht="15.75" customHeight="1">
      <c r="A51" s="180"/>
      <c r="B51" s="180"/>
      <c r="C51" s="180"/>
      <c r="D51" s="180"/>
      <c r="E51" s="180"/>
      <c r="F51" s="180"/>
      <c r="G51" s="180"/>
      <c r="H51" s="180"/>
      <c r="I51" s="180"/>
      <c r="J51" s="180"/>
      <c r="K51" s="180"/>
      <c r="L51" s="180"/>
      <c r="M51" s="180"/>
      <c r="N51" s="180"/>
      <c r="O51" s="180"/>
      <c r="P51" s="180"/>
      <c r="Q51" s="180"/>
      <c r="R51" s="180"/>
      <c r="S51" s="180"/>
      <c r="T51" s="180"/>
      <c r="U51" s="180"/>
      <c r="V51" s="180"/>
      <c r="W51" s="180"/>
      <c r="X51" s="180"/>
    </row>
    <row r="52" ht="15.75" customHeight="1">
      <c r="A52" s="180"/>
      <c r="B52" s="180"/>
      <c r="C52" s="180"/>
      <c r="D52" s="180"/>
      <c r="E52" s="180"/>
      <c r="F52" s="180"/>
      <c r="G52" s="180"/>
      <c r="H52" s="180"/>
      <c r="I52" s="180"/>
      <c r="J52" s="180"/>
      <c r="K52" s="180"/>
      <c r="L52" s="180"/>
      <c r="M52" s="180"/>
      <c r="N52" s="180"/>
      <c r="O52" s="180"/>
      <c r="P52" s="180"/>
      <c r="Q52" s="180"/>
      <c r="R52" s="180"/>
      <c r="S52" s="180"/>
      <c r="T52" s="180"/>
      <c r="U52" s="180"/>
      <c r="V52" s="180"/>
      <c r="W52" s="180"/>
      <c r="X52" s="180"/>
    </row>
    <row r="53" ht="15.75" customHeight="1">
      <c r="A53" s="180"/>
      <c r="B53" s="180"/>
      <c r="C53" s="180"/>
      <c r="D53" s="180"/>
      <c r="E53" s="180"/>
      <c r="F53" s="180"/>
      <c r="G53" s="180"/>
      <c r="H53" s="180"/>
      <c r="I53" s="180"/>
      <c r="J53" s="180"/>
      <c r="K53" s="180"/>
      <c r="L53" s="180"/>
      <c r="M53" s="180"/>
      <c r="N53" s="180"/>
      <c r="O53" s="180"/>
      <c r="P53" s="180"/>
      <c r="Q53" s="180"/>
      <c r="R53" s="180"/>
      <c r="S53" s="180"/>
      <c r="T53" s="180"/>
      <c r="U53" s="180"/>
      <c r="V53" s="180"/>
      <c r="W53" s="180"/>
      <c r="X53" s="180"/>
    </row>
    <row r="54" ht="15.75" customHeight="1">
      <c r="A54" s="180"/>
      <c r="B54" s="180"/>
      <c r="C54" s="180"/>
      <c r="D54" s="180"/>
      <c r="E54" s="180"/>
      <c r="F54" s="180"/>
      <c r="G54" s="180"/>
      <c r="H54" s="180"/>
      <c r="I54" s="180"/>
      <c r="J54" s="180"/>
      <c r="K54" s="180"/>
      <c r="L54" s="180"/>
      <c r="M54" s="180"/>
      <c r="N54" s="180"/>
      <c r="O54" s="180"/>
      <c r="P54" s="180"/>
      <c r="Q54" s="180"/>
      <c r="R54" s="180"/>
      <c r="S54" s="180"/>
      <c r="T54" s="180"/>
      <c r="U54" s="180"/>
      <c r="V54" s="180"/>
      <c r="W54" s="180"/>
      <c r="X54" s="180"/>
    </row>
    <row r="55" ht="15.75" customHeight="1">
      <c r="A55" s="180"/>
      <c r="B55" s="180"/>
      <c r="C55" s="180"/>
      <c r="D55" s="180"/>
      <c r="E55" s="180"/>
      <c r="F55" s="180"/>
      <c r="G55" s="180"/>
      <c r="H55" s="180"/>
      <c r="I55" s="180"/>
      <c r="J55" s="180"/>
      <c r="K55" s="180"/>
      <c r="L55" s="180"/>
      <c r="M55" s="180"/>
      <c r="N55" s="180"/>
      <c r="O55" s="180"/>
      <c r="P55" s="180"/>
      <c r="Q55" s="180"/>
      <c r="R55" s="180"/>
      <c r="S55" s="180"/>
      <c r="T55" s="180"/>
      <c r="U55" s="180"/>
      <c r="V55" s="180"/>
      <c r="W55" s="180"/>
      <c r="X55" s="180"/>
    </row>
    <row r="56" ht="15.75" customHeight="1">
      <c r="A56" s="180"/>
      <c r="B56" s="180"/>
      <c r="C56" s="180"/>
      <c r="D56" s="180"/>
      <c r="E56" s="180"/>
      <c r="F56" s="180"/>
      <c r="G56" s="180"/>
      <c r="H56" s="180"/>
      <c r="I56" s="180"/>
      <c r="J56" s="180"/>
      <c r="K56" s="180"/>
      <c r="L56" s="180"/>
      <c r="M56" s="180"/>
      <c r="N56" s="180"/>
      <c r="O56" s="180"/>
      <c r="P56" s="180"/>
      <c r="Q56" s="180"/>
      <c r="R56" s="180"/>
      <c r="S56" s="180"/>
      <c r="T56" s="180"/>
      <c r="U56" s="180"/>
      <c r="V56" s="180"/>
      <c r="W56" s="180"/>
      <c r="X56" s="180"/>
    </row>
    <row r="57" ht="15.75" customHeight="1">
      <c r="A57" s="180"/>
      <c r="B57" s="180"/>
      <c r="C57" s="180"/>
      <c r="D57" s="180"/>
      <c r="E57" s="180"/>
      <c r="F57" s="180"/>
      <c r="G57" s="180"/>
      <c r="H57" s="180"/>
      <c r="I57" s="180"/>
      <c r="J57" s="180"/>
      <c r="K57" s="180"/>
      <c r="L57" s="180"/>
      <c r="M57" s="180"/>
      <c r="N57" s="180"/>
      <c r="O57" s="180"/>
      <c r="P57" s="180"/>
      <c r="Q57" s="180"/>
      <c r="R57" s="180"/>
      <c r="S57" s="180"/>
      <c r="T57" s="180"/>
      <c r="U57" s="180"/>
      <c r="V57" s="180"/>
      <c r="W57" s="180"/>
      <c r="X57" s="180"/>
    </row>
    <row r="58" ht="15.75" customHeight="1">
      <c r="A58" s="180"/>
      <c r="B58" s="180"/>
      <c r="C58" s="180"/>
      <c r="D58" s="180"/>
      <c r="E58" s="180"/>
      <c r="F58" s="180"/>
      <c r="G58" s="180"/>
      <c r="H58" s="180"/>
      <c r="I58" s="180"/>
      <c r="J58" s="180"/>
      <c r="K58" s="180"/>
      <c r="L58" s="180"/>
      <c r="M58" s="180"/>
      <c r="N58" s="180"/>
      <c r="O58" s="180"/>
      <c r="P58" s="180"/>
      <c r="Q58" s="180"/>
      <c r="R58" s="180"/>
      <c r="S58" s="180"/>
      <c r="T58" s="180"/>
      <c r="U58" s="180"/>
      <c r="V58" s="180"/>
      <c r="W58" s="180"/>
      <c r="X58" s="180"/>
    </row>
    <row r="59" ht="15.75" customHeight="1">
      <c r="A59" s="180"/>
      <c r="B59" s="180"/>
      <c r="C59" s="180"/>
      <c r="D59" s="180"/>
      <c r="E59" s="180"/>
      <c r="F59" s="180"/>
      <c r="G59" s="180"/>
      <c r="H59" s="180"/>
      <c r="I59" s="180"/>
      <c r="J59" s="180"/>
      <c r="K59" s="180"/>
      <c r="L59" s="180"/>
      <c r="M59" s="180"/>
      <c r="N59" s="180"/>
      <c r="O59" s="180"/>
      <c r="P59" s="180"/>
      <c r="Q59" s="180"/>
      <c r="R59" s="180"/>
      <c r="S59" s="180"/>
      <c r="T59" s="180"/>
      <c r="U59" s="180"/>
      <c r="V59" s="180"/>
      <c r="W59" s="180"/>
      <c r="X59" s="180"/>
    </row>
    <row r="60" ht="15.75" customHeight="1">
      <c r="A60" s="180"/>
      <c r="B60" s="180"/>
      <c r="C60" s="180"/>
      <c r="D60" s="180"/>
      <c r="E60" s="180"/>
      <c r="F60" s="180"/>
      <c r="G60" s="180"/>
      <c r="H60" s="180"/>
      <c r="I60" s="180"/>
      <c r="J60" s="180"/>
      <c r="K60" s="180"/>
      <c r="L60" s="180"/>
      <c r="M60" s="180"/>
      <c r="N60" s="180"/>
      <c r="O60" s="180"/>
      <c r="P60" s="180"/>
      <c r="Q60" s="180"/>
      <c r="R60" s="180"/>
      <c r="S60" s="180"/>
      <c r="T60" s="180"/>
      <c r="U60" s="180"/>
      <c r="V60" s="180"/>
      <c r="W60" s="180"/>
      <c r="X60" s="180"/>
    </row>
    <row r="61" ht="15.75" customHeight="1">
      <c r="A61" s="180"/>
      <c r="B61" s="180"/>
      <c r="C61" s="180"/>
      <c r="D61" s="180"/>
      <c r="E61" s="180"/>
      <c r="F61" s="180"/>
      <c r="G61" s="180"/>
      <c r="H61" s="180"/>
      <c r="I61" s="180"/>
      <c r="J61" s="180"/>
      <c r="K61" s="180"/>
      <c r="L61" s="180"/>
      <c r="M61" s="180"/>
      <c r="N61" s="180"/>
      <c r="O61" s="180"/>
      <c r="P61" s="180"/>
      <c r="Q61" s="180"/>
      <c r="R61" s="180"/>
      <c r="S61" s="180"/>
      <c r="T61" s="180"/>
      <c r="U61" s="180"/>
      <c r="V61" s="180"/>
      <c r="W61" s="180"/>
      <c r="X61" s="180"/>
    </row>
    <row r="62" ht="15.75" customHeight="1">
      <c r="A62" s="180"/>
      <c r="B62" s="180"/>
      <c r="C62" s="180"/>
      <c r="D62" s="180"/>
      <c r="E62" s="180"/>
      <c r="F62" s="180"/>
      <c r="G62" s="180"/>
      <c r="H62" s="180"/>
      <c r="I62" s="180"/>
      <c r="J62" s="180"/>
      <c r="K62" s="180"/>
      <c r="L62" s="180"/>
      <c r="M62" s="180"/>
      <c r="N62" s="180"/>
      <c r="O62" s="180"/>
      <c r="P62" s="180"/>
      <c r="Q62" s="180"/>
      <c r="R62" s="180"/>
      <c r="S62" s="180"/>
      <c r="T62" s="180"/>
      <c r="U62" s="180"/>
      <c r="V62" s="180"/>
      <c r="W62" s="180"/>
      <c r="X62" s="180"/>
    </row>
    <row r="63" ht="15.75" customHeight="1">
      <c r="A63" s="180"/>
      <c r="B63" s="180"/>
      <c r="C63" s="180"/>
      <c r="D63" s="180"/>
      <c r="E63" s="180"/>
      <c r="F63" s="180"/>
      <c r="G63" s="180"/>
      <c r="H63" s="180"/>
      <c r="I63" s="180"/>
      <c r="J63" s="180"/>
      <c r="K63" s="180"/>
      <c r="L63" s="180"/>
      <c r="M63" s="180"/>
      <c r="N63" s="180"/>
      <c r="O63" s="180"/>
      <c r="P63" s="180"/>
      <c r="Q63" s="180"/>
      <c r="R63" s="180"/>
      <c r="S63" s="180"/>
      <c r="T63" s="180"/>
      <c r="U63" s="180"/>
      <c r="V63" s="180"/>
      <c r="W63" s="180"/>
      <c r="X63" s="180"/>
    </row>
    <row r="64" ht="15.75" customHeight="1">
      <c r="A64" s="180"/>
      <c r="B64" s="180"/>
      <c r="C64" s="180"/>
      <c r="D64" s="180"/>
      <c r="E64" s="180"/>
      <c r="F64" s="180"/>
      <c r="G64" s="180"/>
      <c r="H64" s="180"/>
      <c r="I64" s="180"/>
      <c r="J64" s="180"/>
      <c r="K64" s="180"/>
      <c r="L64" s="180"/>
      <c r="M64" s="180"/>
      <c r="N64" s="180"/>
      <c r="O64" s="180"/>
      <c r="P64" s="180"/>
      <c r="Q64" s="180"/>
      <c r="R64" s="180"/>
      <c r="S64" s="180"/>
      <c r="T64" s="180"/>
      <c r="U64" s="180"/>
      <c r="V64" s="180"/>
      <c r="W64" s="180"/>
      <c r="X64" s="180"/>
    </row>
    <row r="65" ht="15.75" customHeight="1">
      <c r="A65" s="180"/>
      <c r="B65" s="180"/>
      <c r="C65" s="180"/>
      <c r="D65" s="180"/>
      <c r="E65" s="180"/>
      <c r="F65" s="180"/>
      <c r="G65" s="180"/>
      <c r="H65" s="180"/>
      <c r="I65" s="180"/>
      <c r="J65" s="180"/>
      <c r="K65" s="180"/>
      <c r="L65" s="180"/>
      <c r="M65" s="180"/>
      <c r="N65" s="180"/>
      <c r="O65" s="180"/>
      <c r="P65" s="180"/>
      <c r="Q65" s="180"/>
      <c r="R65" s="180"/>
      <c r="S65" s="180"/>
      <c r="T65" s="180"/>
      <c r="U65" s="180"/>
      <c r="V65" s="180"/>
      <c r="W65" s="180"/>
      <c r="X65" s="180"/>
    </row>
    <row r="66" ht="15.75" customHeight="1">
      <c r="A66" s="180"/>
      <c r="B66" s="180"/>
      <c r="C66" s="180"/>
      <c r="D66" s="180"/>
      <c r="E66" s="180"/>
      <c r="F66" s="180"/>
      <c r="G66" s="180"/>
      <c r="H66" s="180"/>
      <c r="I66" s="180"/>
      <c r="J66" s="180"/>
      <c r="K66" s="180"/>
      <c r="L66" s="180"/>
      <c r="M66" s="180"/>
      <c r="N66" s="180"/>
      <c r="O66" s="180"/>
      <c r="P66" s="180"/>
      <c r="Q66" s="180"/>
      <c r="R66" s="180"/>
      <c r="S66" s="180"/>
      <c r="T66" s="180"/>
      <c r="U66" s="180"/>
      <c r="V66" s="180"/>
      <c r="W66" s="180"/>
      <c r="X66" s="180"/>
    </row>
    <row r="67" ht="15.75" customHeight="1">
      <c r="A67" s="180"/>
      <c r="B67" s="180"/>
      <c r="C67" s="180"/>
      <c r="D67" s="180"/>
      <c r="E67" s="180"/>
      <c r="F67" s="180"/>
      <c r="G67" s="180"/>
      <c r="H67" s="180"/>
      <c r="I67" s="180"/>
      <c r="J67" s="180"/>
      <c r="K67" s="180"/>
      <c r="L67" s="180"/>
      <c r="M67" s="180"/>
      <c r="N67" s="180"/>
      <c r="O67" s="180"/>
      <c r="P67" s="180"/>
      <c r="Q67" s="180"/>
      <c r="R67" s="180"/>
      <c r="S67" s="180"/>
      <c r="T67" s="180"/>
      <c r="U67" s="180"/>
      <c r="V67" s="180"/>
      <c r="W67" s="180"/>
      <c r="X67" s="180"/>
    </row>
    <row r="68" ht="15.75" customHeight="1">
      <c r="A68" s="180"/>
      <c r="B68" s="180"/>
      <c r="C68" s="180"/>
      <c r="D68" s="180"/>
      <c r="E68" s="180"/>
      <c r="F68" s="180"/>
      <c r="G68" s="180"/>
      <c r="H68" s="180"/>
      <c r="I68" s="180"/>
      <c r="J68" s="180"/>
      <c r="K68" s="180"/>
      <c r="L68" s="180"/>
      <c r="M68" s="180"/>
      <c r="N68" s="180"/>
      <c r="O68" s="180"/>
      <c r="P68" s="180"/>
      <c r="Q68" s="180"/>
      <c r="R68" s="180"/>
      <c r="S68" s="180"/>
      <c r="T68" s="180"/>
      <c r="U68" s="180"/>
      <c r="V68" s="180"/>
      <c r="W68" s="180"/>
      <c r="X68" s="180"/>
    </row>
    <row r="69" ht="15.75" customHeight="1">
      <c r="A69" s="180"/>
      <c r="B69" s="180"/>
      <c r="C69" s="180"/>
      <c r="D69" s="180"/>
      <c r="E69" s="180"/>
      <c r="F69" s="180"/>
      <c r="G69" s="180"/>
      <c r="H69" s="180"/>
      <c r="I69" s="180"/>
      <c r="J69" s="180"/>
      <c r="K69" s="180"/>
      <c r="L69" s="180"/>
      <c r="M69" s="180"/>
      <c r="N69" s="180"/>
      <c r="O69" s="180"/>
      <c r="P69" s="180"/>
      <c r="Q69" s="180"/>
      <c r="R69" s="180"/>
      <c r="S69" s="180"/>
      <c r="T69" s="180"/>
      <c r="U69" s="180"/>
      <c r="V69" s="180"/>
      <c r="W69" s="180"/>
      <c r="X69" s="180"/>
    </row>
    <row r="70" ht="15.75" customHeight="1">
      <c r="A70" s="180"/>
      <c r="B70" s="180"/>
      <c r="C70" s="180"/>
      <c r="D70" s="180"/>
      <c r="E70" s="180"/>
      <c r="F70" s="180"/>
      <c r="G70" s="180"/>
      <c r="H70" s="180"/>
      <c r="I70" s="180"/>
      <c r="J70" s="180"/>
      <c r="K70" s="180"/>
      <c r="L70" s="180"/>
      <c r="M70" s="180"/>
      <c r="N70" s="180"/>
      <c r="O70" s="180"/>
      <c r="P70" s="180"/>
      <c r="Q70" s="180"/>
      <c r="R70" s="180"/>
      <c r="S70" s="180"/>
      <c r="T70" s="180"/>
      <c r="U70" s="180"/>
      <c r="V70" s="180"/>
      <c r="W70" s="180"/>
      <c r="X70" s="180"/>
    </row>
    <row r="71" ht="15.75" customHeight="1">
      <c r="A71" s="180"/>
      <c r="B71" s="180"/>
      <c r="C71" s="180"/>
      <c r="D71" s="180"/>
      <c r="E71" s="180"/>
      <c r="F71" s="180"/>
      <c r="G71" s="180"/>
      <c r="H71" s="180"/>
      <c r="I71" s="180"/>
      <c r="J71" s="180"/>
      <c r="K71" s="180"/>
      <c r="L71" s="180"/>
      <c r="M71" s="180"/>
      <c r="N71" s="180"/>
      <c r="O71" s="180"/>
      <c r="P71" s="180"/>
      <c r="Q71" s="180"/>
      <c r="R71" s="180"/>
      <c r="S71" s="180"/>
      <c r="T71" s="180"/>
      <c r="U71" s="180"/>
      <c r="V71" s="180"/>
      <c r="W71" s="180"/>
      <c r="X71" s="180"/>
    </row>
    <row r="72" ht="15.75" customHeight="1">
      <c r="A72" s="180"/>
      <c r="B72" s="180"/>
      <c r="C72" s="180"/>
      <c r="D72" s="180"/>
      <c r="E72" s="180"/>
      <c r="F72" s="180"/>
      <c r="G72" s="180"/>
      <c r="H72" s="180"/>
      <c r="I72" s="180"/>
      <c r="J72" s="180"/>
      <c r="K72" s="180"/>
      <c r="L72" s="180"/>
      <c r="M72" s="180"/>
      <c r="N72" s="180"/>
      <c r="O72" s="180"/>
      <c r="P72" s="180"/>
      <c r="Q72" s="180"/>
      <c r="R72" s="180"/>
      <c r="S72" s="180"/>
      <c r="T72" s="180"/>
      <c r="U72" s="180"/>
      <c r="V72" s="180"/>
      <c r="W72" s="180"/>
      <c r="X72" s="180"/>
    </row>
    <row r="73" ht="15.75" customHeight="1">
      <c r="A73" s="180"/>
      <c r="B73" s="180"/>
      <c r="C73" s="180"/>
      <c r="D73" s="180"/>
      <c r="E73" s="180"/>
      <c r="F73" s="180"/>
      <c r="G73" s="180"/>
      <c r="H73" s="180"/>
      <c r="I73" s="180"/>
      <c r="J73" s="180"/>
      <c r="K73" s="180"/>
      <c r="L73" s="180"/>
      <c r="M73" s="180"/>
      <c r="N73" s="180"/>
      <c r="O73" s="180"/>
      <c r="P73" s="180"/>
      <c r="Q73" s="180"/>
      <c r="R73" s="180"/>
      <c r="S73" s="180"/>
      <c r="T73" s="180"/>
      <c r="U73" s="180"/>
      <c r="V73" s="180"/>
      <c r="W73" s="180"/>
      <c r="X73" s="180"/>
    </row>
    <row r="74" ht="15.75" customHeight="1">
      <c r="A74" s="180"/>
      <c r="B74" s="180"/>
      <c r="C74" s="180"/>
      <c r="D74" s="180"/>
      <c r="E74" s="180"/>
      <c r="F74" s="180"/>
      <c r="G74" s="180"/>
      <c r="H74" s="180"/>
      <c r="I74" s="180"/>
      <c r="J74" s="180"/>
      <c r="K74" s="180"/>
      <c r="L74" s="180"/>
      <c r="M74" s="180"/>
      <c r="N74" s="180"/>
      <c r="O74" s="180"/>
      <c r="P74" s="180"/>
      <c r="Q74" s="180"/>
      <c r="R74" s="180"/>
      <c r="S74" s="180"/>
      <c r="T74" s="180"/>
      <c r="U74" s="180"/>
      <c r="V74" s="180"/>
      <c r="W74" s="180"/>
      <c r="X74" s="180"/>
    </row>
    <row r="75" ht="15.75" customHeight="1">
      <c r="A75" s="180"/>
      <c r="B75" s="180"/>
      <c r="C75" s="180"/>
      <c r="D75" s="180"/>
      <c r="E75" s="180"/>
      <c r="F75" s="180"/>
      <c r="G75" s="180"/>
      <c r="H75" s="180"/>
      <c r="I75" s="180"/>
      <c r="J75" s="180"/>
      <c r="K75" s="180"/>
      <c r="L75" s="180"/>
      <c r="M75" s="180"/>
      <c r="N75" s="180"/>
      <c r="O75" s="180"/>
      <c r="P75" s="180"/>
      <c r="Q75" s="180"/>
      <c r="R75" s="180"/>
      <c r="S75" s="180"/>
      <c r="T75" s="180"/>
      <c r="U75" s="180"/>
      <c r="V75" s="180"/>
      <c r="W75" s="180"/>
      <c r="X75" s="180"/>
    </row>
    <row r="76" ht="15.75" customHeight="1">
      <c r="A76" s="180"/>
      <c r="B76" s="180"/>
      <c r="C76" s="180"/>
      <c r="D76" s="180"/>
      <c r="E76" s="180"/>
      <c r="F76" s="180"/>
      <c r="G76" s="180"/>
      <c r="H76" s="180"/>
      <c r="I76" s="180"/>
      <c r="J76" s="180"/>
      <c r="K76" s="180"/>
      <c r="L76" s="180"/>
      <c r="M76" s="180"/>
      <c r="N76" s="180"/>
      <c r="O76" s="180"/>
      <c r="P76" s="180"/>
      <c r="Q76" s="180"/>
      <c r="R76" s="180"/>
      <c r="S76" s="180"/>
      <c r="T76" s="180"/>
      <c r="U76" s="180"/>
      <c r="V76" s="180"/>
      <c r="W76" s="180"/>
      <c r="X76" s="180"/>
    </row>
    <row r="77" ht="15.75" customHeight="1">
      <c r="A77" s="180"/>
      <c r="B77" s="180"/>
      <c r="C77" s="180"/>
      <c r="D77" s="180"/>
      <c r="E77" s="180"/>
      <c r="F77" s="180"/>
      <c r="G77" s="180"/>
      <c r="H77" s="180"/>
      <c r="I77" s="180"/>
      <c r="J77" s="180"/>
      <c r="K77" s="180"/>
      <c r="L77" s="180"/>
      <c r="M77" s="180"/>
      <c r="N77" s="180"/>
      <c r="O77" s="180"/>
      <c r="P77" s="180"/>
      <c r="Q77" s="180"/>
      <c r="R77" s="180"/>
      <c r="S77" s="180"/>
      <c r="T77" s="180"/>
      <c r="U77" s="180"/>
      <c r="V77" s="180"/>
      <c r="W77" s="180"/>
      <c r="X77" s="180"/>
    </row>
    <row r="78" ht="15.75" customHeight="1">
      <c r="A78" s="180"/>
      <c r="B78" s="180"/>
      <c r="C78" s="180"/>
      <c r="D78" s="180"/>
      <c r="E78" s="180"/>
      <c r="F78" s="180"/>
      <c r="G78" s="180"/>
      <c r="H78" s="180"/>
      <c r="I78" s="180"/>
      <c r="J78" s="180"/>
      <c r="K78" s="180"/>
      <c r="L78" s="180"/>
      <c r="M78" s="180"/>
      <c r="N78" s="180"/>
      <c r="O78" s="180"/>
      <c r="P78" s="180"/>
      <c r="Q78" s="180"/>
      <c r="R78" s="180"/>
      <c r="S78" s="180"/>
      <c r="T78" s="180"/>
      <c r="U78" s="180"/>
      <c r="V78" s="180"/>
      <c r="W78" s="180"/>
      <c r="X78" s="180"/>
    </row>
    <row r="79" ht="15.75" customHeight="1">
      <c r="A79" s="180"/>
      <c r="B79" s="180"/>
      <c r="C79" s="180"/>
      <c r="D79" s="180"/>
      <c r="E79" s="180"/>
      <c r="F79" s="180"/>
      <c r="G79" s="180"/>
      <c r="H79" s="180"/>
      <c r="I79" s="180"/>
      <c r="J79" s="180"/>
      <c r="K79" s="180"/>
      <c r="L79" s="180"/>
      <c r="M79" s="180"/>
      <c r="N79" s="180"/>
      <c r="O79" s="180"/>
      <c r="P79" s="180"/>
      <c r="Q79" s="180"/>
      <c r="R79" s="180"/>
      <c r="S79" s="180"/>
      <c r="T79" s="180"/>
      <c r="U79" s="180"/>
      <c r="V79" s="180"/>
      <c r="W79" s="180"/>
      <c r="X79" s="180"/>
    </row>
    <row r="80" ht="15.75" customHeight="1">
      <c r="A80" s="180"/>
      <c r="B80" s="180"/>
      <c r="C80" s="180"/>
      <c r="D80" s="180"/>
      <c r="E80" s="180"/>
      <c r="F80" s="180"/>
      <c r="G80" s="180"/>
      <c r="H80" s="180"/>
      <c r="I80" s="180"/>
      <c r="J80" s="180"/>
      <c r="K80" s="180"/>
      <c r="L80" s="180"/>
      <c r="M80" s="180"/>
      <c r="N80" s="180"/>
      <c r="O80" s="180"/>
      <c r="P80" s="180"/>
      <c r="Q80" s="180"/>
      <c r="R80" s="180"/>
      <c r="S80" s="180"/>
      <c r="T80" s="180"/>
      <c r="U80" s="180"/>
      <c r="V80" s="180"/>
      <c r="W80" s="180"/>
      <c r="X80" s="180"/>
    </row>
    <row r="81" ht="15.75" customHeight="1">
      <c r="A81" s="180"/>
      <c r="B81" s="180"/>
      <c r="C81" s="180"/>
      <c r="D81" s="180"/>
      <c r="E81" s="180"/>
      <c r="F81" s="180"/>
      <c r="G81" s="180"/>
      <c r="H81" s="180"/>
      <c r="I81" s="180"/>
      <c r="J81" s="180"/>
      <c r="K81" s="180"/>
      <c r="L81" s="180"/>
      <c r="M81" s="180"/>
      <c r="N81" s="180"/>
      <c r="O81" s="180"/>
      <c r="P81" s="180"/>
      <c r="Q81" s="180"/>
      <c r="R81" s="180"/>
      <c r="S81" s="180"/>
      <c r="T81" s="180"/>
      <c r="U81" s="180"/>
      <c r="V81" s="180"/>
      <c r="W81" s="180"/>
      <c r="X81" s="180"/>
    </row>
    <row r="82" ht="15.75" customHeight="1">
      <c r="A82" s="180"/>
      <c r="B82" s="180"/>
      <c r="C82" s="180"/>
      <c r="D82" s="180"/>
      <c r="E82" s="180"/>
      <c r="F82" s="180"/>
      <c r="G82" s="180"/>
      <c r="H82" s="180"/>
      <c r="I82" s="180"/>
      <c r="J82" s="180"/>
      <c r="K82" s="180"/>
      <c r="L82" s="180"/>
      <c r="M82" s="180"/>
      <c r="N82" s="180"/>
      <c r="O82" s="180"/>
      <c r="P82" s="180"/>
      <c r="Q82" s="180"/>
      <c r="R82" s="180"/>
      <c r="S82" s="180"/>
      <c r="T82" s="180"/>
      <c r="U82" s="180"/>
      <c r="V82" s="180"/>
      <c r="W82" s="180"/>
      <c r="X82" s="180"/>
    </row>
    <row r="83" ht="15.75" customHeight="1">
      <c r="A83" s="180"/>
      <c r="B83" s="180"/>
      <c r="C83" s="180"/>
      <c r="D83" s="180"/>
      <c r="E83" s="180"/>
      <c r="F83" s="180"/>
      <c r="G83" s="180"/>
      <c r="H83" s="180"/>
      <c r="I83" s="180"/>
      <c r="J83" s="180"/>
      <c r="K83" s="180"/>
      <c r="L83" s="180"/>
      <c r="M83" s="180"/>
      <c r="N83" s="180"/>
      <c r="O83" s="180"/>
      <c r="P83" s="180"/>
      <c r="Q83" s="180"/>
      <c r="R83" s="180"/>
      <c r="S83" s="180"/>
      <c r="T83" s="180"/>
      <c r="U83" s="180"/>
      <c r="V83" s="180"/>
      <c r="W83" s="180"/>
      <c r="X83" s="180"/>
    </row>
    <row r="84" ht="15.75" customHeight="1">
      <c r="A84" s="180"/>
      <c r="B84" s="180"/>
      <c r="C84" s="180"/>
      <c r="D84" s="180"/>
      <c r="E84" s="180"/>
      <c r="F84" s="180"/>
      <c r="G84" s="180"/>
      <c r="H84" s="180"/>
      <c r="I84" s="180"/>
      <c r="J84" s="180"/>
      <c r="K84" s="180"/>
      <c r="L84" s="180"/>
      <c r="M84" s="180"/>
      <c r="N84" s="180"/>
      <c r="O84" s="180"/>
      <c r="P84" s="180"/>
      <c r="Q84" s="180"/>
      <c r="R84" s="180"/>
      <c r="S84" s="180"/>
      <c r="T84" s="180"/>
      <c r="U84" s="180"/>
      <c r="V84" s="180"/>
      <c r="W84" s="180"/>
      <c r="X84" s="180"/>
    </row>
    <row r="85" ht="15.75" customHeight="1">
      <c r="A85" s="180"/>
      <c r="B85" s="180"/>
      <c r="C85" s="180"/>
      <c r="D85" s="180"/>
      <c r="E85" s="180"/>
      <c r="F85" s="180"/>
      <c r="G85" s="180"/>
      <c r="H85" s="180"/>
      <c r="I85" s="180"/>
      <c r="J85" s="180"/>
      <c r="K85" s="180"/>
      <c r="L85" s="180"/>
      <c r="M85" s="180"/>
      <c r="N85" s="180"/>
      <c r="O85" s="180"/>
      <c r="P85" s="180"/>
      <c r="Q85" s="180"/>
      <c r="R85" s="180"/>
      <c r="S85" s="180"/>
      <c r="T85" s="180"/>
      <c r="U85" s="180"/>
      <c r="V85" s="180"/>
      <c r="W85" s="180"/>
      <c r="X85" s="180"/>
    </row>
    <row r="86" ht="15.75" customHeight="1">
      <c r="A86" s="180"/>
      <c r="B86" s="180"/>
      <c r="C86" s="180"/>
      <c r="D86" s="180"/>
      <c r="E86" s="180"/>
      <c r="F86" s="180"/>
      <c r="G86" s="180"/>
      <c r="H86" s="180"/>
      <c r="I86" s="180"/>
      <c r="J86" s="180"/>
      <c r="K86" s="180"/>
      <c r="L86" s="180"/>
      <c r="M86" s="180"/>
      <c r="N86" s="180"/>
      <c r="O86" s="180"/>
      <c r="P86" s="180"/>
      <c r="Q86" s="180"/>
      <c r="R86" s="180"/>
      <c r="S86" s="180"/>
      <c r="T86" s="180"/>
      <c r="U86" s="180"/>
      <c r="V86" s="180"/>
      <c r="W86" s="180"/>
      <c r="X86" s="180"/>
    </row>
    <row r="87" ht="15.75" customHeight="1">
      <c r="A87" s="180"/>
      <c r="B87" s="180"/>
      <c r="C87" s="180"/>
      <c r="D87" s="180"/>
      <c r="E87" s="180"/>
      <c r="F87" s="180"/>
      <c r="G87" s="180"/>
      <c r="H87" s="180"/>
      <c r="I87" s="180"/>
      <c r="J87" s="180"/>
      <c r="K87" s="180"/>
      <c r="L87" s="180"/>
      <c r="M87" s="180"/>
      <c r="N87" s="180"/>
      <c r="O87" s="180"/>
      <c r="P87" s="180"/>
      <c r="Q87" s="180"/>
      <c r="R87" s="180"/>
      <c r="S87" s="180"/>
      <c r="T87" s="180"/>
      <c r="U87" s="180"/>
      <c r="V87" s="180"/>
      <c r="W87" s="180"/>
      <c r="X87" s="180"/>
    </row>
    <row r="88" ht="15.75" customHeight="1">
      <c r="A88" s="180"/>
      <c r="B88" s="180"/>
      <c r="C88" s="180"/>
      <c r="D88" s="180"/>
      <c r="E88" s="180"/>
      <c r="F88" s="180"/>
      <c r="G88" s="180"/>
      <c r="H88" s="180"/>
      <c r="I88" s="180"/>
      <c r="J88" s="180"/>
      <c r="K88" s="180"/>
      <c r="L88" s="180"/>
      <c r="M88" s="180"/>
      <c r="N88" s="180"/>
      <c r="O88" s="180"/>
      <c r="P88" s="180"/>
      <c r="Q88" s="180"/>
      <c r="R88" s="180"/>
      <c r="S88" s="180"/>
      <c r="T88" s="180"/>
      <c r="U88" s="180"/>
      <c r="V88" s="180"/>
      <c r="W88" s="180"/>
      <c r="X88" s="180"/>
    </row>
    <row r="89" ht="15.75" customHeight="1">
      <c r="A89" s="180"/>
      <c r="B89" s="180"/>
      <c r="C89" s="180"/>
      <c r="D89" s="180"/>
      <c r="E89" s="180"/>
      <c r="F89" s="180"/>
      <c r="G89" s="180"/>
      <c r="H89" s="180"/>
      <c r="I89" s="180"/>
      <c r="J89" s="180"/>
      <c r="K89" s="180"/>
      <c r="L89" s="180"/>
      <c r="M89" s="180"/>
      <c r="N89" s="180"/>
      <c r="O89" s="180"/>
      <c r="P89" s="180"/>
      <c r="Q89" s="180"/>
      <c r="R89" s="180"/>
      <c r="S89" s="180"/>
      <c r="T89" s="180"/>
      <c r="U89" s="180"/>
      <c r="V89" s="180"/>
      <c r="W89" s="180"/>
      <c r="X89" s="180"/>
    </row>
    <row r="90" ht="15.75" customHeight="1">
      <c r="A90" s="180"/>
      <c r="B90" s="180"/>
      <c r="C90" s="180"/>
      <c r="D90" s="180"/>
      <c r="E90" s="180"/>
      <c r="F90" s="180"/>
      <c r="G90" s="180"/>
      <c r="H90" s="180"/>
      <c r="I90" s="180"/>
      <c r="J90" s="180"/>
      <c r="K90" s="180"/>
      <c r="L90" s="180"/>
      <c r="M90" s="180"/>
      <c r="N90" s="180"/>
      <c r="O90" s="180"/>
      <c r="P90" s="180"/>
      <c r="Q90" s="180"/>
      <c r="R90" s="180"/>
      <c r="S90" s="180"/>
      <c r="T90" s="180"/>
      <c r="U90" s="180"/>
      <c r="V90" s="180"/>
      <c r="W90" s="180"/>
      <c r="X90" s="180"/>
    </row>
    <row r="91" ht="15.75" customHeight="1">
      <c r="A91" s="180"/>
      <c r="B91" s="180"/>
      <c r="C91" s="180"/>
      <c r="D91" s="180"/>
      <c r="E91" s="180"/>
      <c r="F91" s="180"/>
      <c r="G91" s="180"/>
      <c r="H91" s="180"/>
      <c r="I91" s="180"/>
      <c r="J91" s="180"/>
      <c r="K91" s="180"/>
      <c r="L91" s="180"/>
      <c r="M91" s="180"/>
      <c r="N91" s="180"/>
      <c r="O91" s="180"/>
      <c r="P91" s="180"/>
      <c r="Q91" s="180"/>
      <c r="R91" s="180"/>
      <c r="S91" s="180"/>
      <c r="T91" s="180"/>
      <c r="U91" s="180"/>
      <c r="V91" s="180"/>
      <c r="W91" s="180"/>
      <c r="X91" s="180"/>
    </row>
    <row r="92" ht="15.75" customHeight="1">
      <c r="A92" s="180"/>
      <c r="B92" s="180"/>
      <c r="C92" s="180"/>
      <c r="D92" s="180"/>
      <c r="E92" s="180"/>
      <c r="F92" s="180"/>
      <c r="G92" s="180"/>
      <c r="H92" s="180"/>
      <c r="I92" s="180"/>
      <c r="J92" s="180"/>
      <c r="K92" s="180"/>
      <c r="L92" s="180"/>
      <c r="M92" s="180"/>
      <c r="N92" s="180"/>
      <c r="O92" s="180"/>
      <c r="P92" s="180"/>
      <c r="Q92" s="180"/>
      <c r="R92" s="180"/>
      <c r="S92" s="180"/>
      <c r="T92" s="180"/>
      <c r="U92" s="180"/>
      <c r="V92" s="180"/>
      <c r="W92" s="180"/>
      <c r="X92" s="180"/>
    </row>
    <row r="93" ht="15.75" customHeight="1">
      <c r="A93" s="180"/>
      <c r="B93" s="180"/>
      <c r="C93" s="180"/>
      <c r="D93" s="180"/>
      <c r="E93" s="180"/>
      <c r="F93" s="180"/>
      <c r="G93" s="180"/>
      <c r="H93" s="180"/>
      <c r="I93" s="180"/>
      <c r="J93" s="180"/>
      <c r="K93" s="180"/>
      <c r="L93" s="180"/>
      <c r="M93" s="180"/>
      <c r="N93" s="180"/>
      <c r="O93" s="180"/>
      <c r="P93" s="180"/>
      <c r="Q93" s="180"/>
      <c r="R93" s="180"/>
      <c r="S93" s="180"/>
      <c r="T93" s="180"/>
      <c r="U93" s="180"/>
      <c r="V93" s="180"/>
      <c r="W93" s="180"/>
      <c r="X93" s="180"/>
    </row>
    <row r="94" ht="15.75" customHeight="1">
      <c r="A94" s="180"/>
      <c r="B94" s="180"/>
      <c r="C94" s="180"/>
      <c r="D94" s="180"/>
      <c r="E94" s="180"/>
      <c r="F94" s="180"/>
      <c r="G94" s="180"/>
      <c r="H94" s="180"/>
      <c r="I94" s="180"/>
      <c r="J94" s="180"/>
      <c r="K94" s="180"/>
      <c r="L94" s="180"/>
      <c r="M94" s="180"/>
      <c r="N94" s="180"/>
      <c r="O94" s="180"/>
      <c r="P94" s="180"/>
      <c r="Q94" s="180"/>
      <c r="R94" s="180"/>
      <c r="S94" s="180"/>
      <c r="T94" s="180"/>
      <c r="U94" s="180"/>
      <c r="V94" s="180"/>
      <c r="W94" s="180"/>
      <c r="X94" s="180"/>
    </row>
    <row r="95" ht="15.75" customHeight="1">
      <c r="A95" s="180"/>
      <c r="B95" s="180"/>
      <c r="C95" s="180"/>
      <c r="D95" s="180"/>
      <c r="E95" s="180"/>
      <c r="F95" s="180"/>
      <c r="G95" s="180"/>
      <c r="H95" s="180"/>
      <c r="I95" s="180"/>
      <c r="J95" s="180"/>
      <c r="K95" s="180"/>
      <c r="L95" s="180"/>
      <c r="M95" s="180"/>
      <c r="N95" s="180"/>
      <c r="O95" s="180"/>
      <c r="P95" s="180"/>
      <c r="Q95" s="180"/>
      <c r="R95" s="180"/>
      <c r="S95" s="180"/>
      <c r="T95" s="180"/>
      <c r="U95" s="180"/>
      <c r="V95" s="180"/>
      <c r="W95" s="180"/>
      <c r="X95" s="180"/>
    </row>
    <row r="96" ht="15.75" customHeight="1">
      <c r="A96" s="180"/>
      <c r="B96" s="180"/>
      <c r="C96" s="180"/>
      <c r="D96" s="180"/>
      <c r="E96" s="180"/>
      <c r="F96" s="180"/>
      <c r="G96" s="180"/>
      <c r="H96" s="180"/>
      <c r="I96" s="180"/>
      <c r="J96" s="180"/>
      <c r="K96" s="180"/>
      <c r="L96" s="180"/>
      <c r="M96" s="180"/>
      <c r="N96" s="180"/>
      <c r="O96" s="180"/>
      <c r="P96" s="180"/>
      <c r="Q96" s="180"/>
      <c r="R96" s="180"/>
      <c r="S96" s="180"/>
      <c r="T96" s="180"/>
      <c r="U96" s="180"/>
      <c r="V96" s="180"/>
      <c r="W96" s="180"/>
      <c r="X96" s="180"/>
    </row>
    <row r="97" ht="15.75" customHeight="1">
      <c r="A97" s="180"/>
      <c r="B97" s="180"/>
      <c r="C97" s="180"/>
      <c r="D97" s="180"/>
      <c r="E97" s="180"/>
      <c r="F97" s="180"/>
      <c r="G97" s="180"/>
      <c r="H97" s="180"/>
      <c r="I97" s="180"/>
      <c r="J97" s="180"/>
      <c r="K97" s="180"/>
      <c r="L97" s="180"/>
      <c r="M97" s="180"/>
      <c r="N97" s="180"/>
      <c r="O97" s="180"/>
      <c r="P97" s="180"/>
      <c r="Q97" s="180"/>
      <c r="R97" s="180"/>
      <c r="S97" s="180"/>
      <c r="T97" s="180"/>
      <c r="U97" s="180"/>
      <c r="V97" s="180"/>
      <c r="W97" s="180"/>
      <c r="X97" s="180"/>
    </row>
    <row r="98" ht="15.75" customHeight="1">
      <c r="A98" s="180"/>
      <c r="B98" s="180"/>
      <c r="C98" s="180"/>
      <c r="D98" s="180"/>
      <c r="E98" s="180"/>
      <c r="F98" s="180"/>
      <c r="G98" s="180"/>
      <c r="H98" s="180"/>
      <c r="I98" s="180"/>
      <c r="J98" s="180"/>
      <c r="K98" s="180"/>
      <c r="L98" s="180"/>
      <c r="M98" s="180"/>
      <c r="N98" s="180"/>
      <c r="O98" s="180"/>
      <c r="P98" s="180"/>
      <c r="Q98" s="180"/>
      <c r="R98" s="180"/>
      <c r="S98" s="180"/>
      <c r="T98" s="180"/>
      <c r="U98" s="180"/>
      <c r="V98" s="180"/>
      <c r="W98" s="180"/>
      <c r="X98" s="180"/>
    </row>
    <row r="99" ht="15.75" customHeight="1">
      <c r="A99" s="180"/>
      <c r="B99" s="180"/>
      <c r="C99" s="180"/>
      <c r="D99" s="180"/>
      <c r="E99" s="180"/>
      <c r="F99" s="180"/>
      <c r="G99" s="180"/>
      <c r="H99" s="180"/>
      <c r="I99" s="180"/>
      <c r="J99" s="180"/>
      <c r="K99" s="180"/>
      <c r="L99" s="180"/>
      <c r="M99" s="180"/>
      <c r="N99" s="180"/>
      <c r="O99" s="180"/>
      <c r="P99" s="180"/>
      <c r="Q99" s="180"/>
      <c r="R99" s="180"/>
      <c r="S99" s="180"/>
      <c r="T99" s="180"/>
      <c r="U99" s="180"/>
      <c r="V99" s="180"/>
      <c r="W99" s="180"/>
      <c r="X99" s="180"/>
    </row>
    <row r="100" ht="15.75" customHeight="1">
      <c r="A100" s="180"/>
      <c r="B100" s="180"/>
      <c r="C100" s="180"/>
      <c r="D100" s="180"/>
      <c r="E100" s="180"/>
      <c r="F100" s="180"/>
      <c r="G100" s="180"/>
      <c r="H100" s="180"/>
      <c r="I100" s="180"/>
      <c r="J100" s="180"/>
      <c r="K100" s="180"/>
      <c r="L100" s="180"/>
      <c r="M100" s="180"/>
      <c r="N100" s="180"/>
      <c r="O100" s="180"/>
      <c r="P100" s="180"/>
      <c r="Q100" s="180"/>
      <c r="R100" s="180"/>
      <c r="S100" s="180"/>
      <c r="T100" s="180"/>
      <c r="U100" s="180"/>
      <c r="V100" s="180"/>
      <c r="W100" s="180"/>
      <c r="X100" s="180"/>
    </row>
    <row r="101" ht="15.75" customHeight="1">
      <c r="A101" s="180"/>
      <c r="B101" s="180"/>
      <c r="C101" s="180"/>
      <c r="D101" s="180"/>
      <c r="E101" s="180"/>
      <c r="F101" s="180"/>
      <c r="G101" s="180"/>
      <c r="H101" s="180"/>
      <c r="I101" s="180"/>
      <c r="J101" s="180"/>
      <c r="K101" s="180"/>
      <c r="L101" s="180"/>
      <c r="M101" s="180"/>
      <c r="N101" s="180"/>
      <c r="O101" s="180"/>
      <c r="P101" s="180"/>
      <c r="Q101" s="180"/>
      <c r="R101" s="180"/>
      <c r="S101" s="180"/>
      <c r="T101" s="180"/>
      <c r="U101" s="180"/>
      <c r="V101" s="180"/>
      <c r="W101" s="180"/>
      <c r="X101" s="180"/>
    </row>
    <row r="102" ht="15.75" customHeight="1">
      <c r="A102" s="180"/>
      <c r="B102" s="180"/>
      <c r="C102" s="180"/>
      <c r="D102" s="180"/>
      <c r="E102" s="180"/>
      <c r="F102" s="180"/>
      <c r="G102" s="180"/>
      <c r="H102" s="180"/>
      <c r="I102" s="180"/>
      <c r="J102" s="180"/>
      <c r="K102" s="180"/>
      <c r="L102" s="180"/>
      <c r="M102" s="180"/>
      <c r="N102" s="180"/>
      <c r="O102" s="180"/>
      <c r="P102" s="180"/>
      <c r="Q102" s="180"/>
      <c r="R102" s="180"/>
      <c r="S102" s="180"/>
      <c r="T102" s="180"/>
      <c r="U102" s="180"/>
      <c r="V102" s="180"/>
      <c r="W102" s="180"/>
      <c r="X102" s="180"/>
    </row>
    <row r="103" ht="15.75" customHeight="1">
      <c r="A103" s="180"/>
      <c r="B103" s="180"/>
      <c r="C103" s="180"/>
      <c r="D103" s="180"/>
      <c r="E103" s="180"/>
      <c r="F103" s="180"/>
      <c r="G103" s="180"/>
      <c r="H103" s="180"/>
      <c r="I103" s="180"/>
      <c r="J103" s="180"/>
      <c r="K103" s="180"/>
      <c r="L103" s="180"/>
      <c r="M103" s="180"/>
      <c r="N103" s="180"/>
      <c r="O103" s="180"/>
      <c r="P103" s="180"/>
      <c r="Q103" s="180"/>
      <c r="R103" s="180"/>
      <c r="S103" s="180"/>
      <c r="T103" s="180"/>
      <c r="U103" s="180"/>
      <c r="V103" s="180"/>
      <c r="W103" s="180"/>
      <c r="X103" s="180"/>
    </row>
    <row r="104" ht="15.75" customHeight="1">
      <c r="A104" s="180"/>
      <c r="B104" s="180"/>
      <c r="C104" s="180"/>
      <c r="D104" s="180"/>
      <c r="E104" s="180"/>
      <c r="F104" s="180"/>
      <c r="G104" s="180"/>
      <c r="H104" s="180"/>
      <c r="I104" s="180"/>
      <c r="J104" s="180"/>
      <c r="K104" s="180"/>
      <c r="L104" s="180"/>
      <c r="M104" s="180"/>
      <c r="N104" s="180"/>
      <c r="O104" s="180"/>
      <c r="P104" s="180"/>
      <c r="Q104" s="180"/>
      <c r="R104" s="180"/>
      <c r="S104" s="180"/>
      <c r="T104" s="180"/>
      <c r="U104" s="180"/>
      <c r="V104" s="180"/>
      <c r="W104" s="180"/>
      <c r="X104" s="180"/>
    </row>
    <row r="105" ht="15.75" customHeight="1">
      <c r="A105" s="180"/>
      <c r="B105" s="180"/>
      <c r="C105" s="180"/>
      <c r="D105" s="180"/>
      <c r="E105" s="180"/>
      <c r="F105" s="180"/>
      <c r="G105" s="180"/>
      <c r="H105" s="180"/>
      <c r="I105" s="180"/>
      <c r="J105" s="180"/>
      <c r="K105" s="180"/>
      <c r="L105" s="180"/>
      <c r="M105" s="180"/>
      <c r="N105" s="180"/>
      <c r="O105" s="180"/>
      <c r="P105" s="180"/>
      <c r="Q105" s="180"/>
      <c r="R105" s="180"/>
      <c r="S105" s="180"/>
      <c r="T105" s="180"/>
      <c r="U105" s="180"/>
      <c r="V105" s="180"/>
      <c r="W105" s="180"/>
      <c r="X105" s="180"/>
    </row>
    <row r="106" ht="15.75" customHeight="1">
      <c r="A106" s="180"/>
      <c r="B106" s="180"/>
      <c r="C106" s="180"/>
      <c r="D106" s="180"/>
      <c r="E106" s="180"/>
      <c r="F106" s="180"/>
      <c r="G106" s="180"/>
      <c r="H106" s="180"/>
      <c r="I106" s="180"/>
      <c r="J106" s="180"/>
      <c r="K106" s="180"/>
      <c r="L106" s="180"/>
      <c r="M106" s="180"/>
      <c r="N106" s="180"/>
      <c r="O106" s="180"/>
      <c r="P106" s="180"/>
      <c r="Q106" s="180"/>
      <c r="R106" s="180"/>
      <c r="S106" s="180"/>
      <c r="T106" s="180"/>
      <c r="U106" s="180"/>
      <c r="V106" s="180"/>
      <c r="W106" s="180"/>
      <c r="X106" s="180"/>
    </row>
    <row r="107" ht="15.75" customHeight="1">
      <c r="A107" s="180"/>
      <c r="B107" s="180"/>
      <c r="C107" s="180"/>
      <c r="D107" s="180"/>
      <c r="E107" s="180"/>
      <c r="F107" s="180"/>
      <c r="G107" s="180"/>
      <c r="H107" s="180"/>
      <c r="I107" s="180"/>
      <c r="J107" s="180"/>
      <c r="K107" s="180"/>
      <c r="L107" s="180"/>
      <c r="M107" s="180"/>
      <c r="N107" s="180"/>
      <c r="O107" s="180"/>
      <c r="P107" s="180"/>
      <c r="Q107" s="180"/>
      <c r="R107" s="180"/>
      <c r="S107" s="180"/>
      <c r="T107" s="180"/>
      <c r="U107" s="180"/>
      <c r="V107" s="180"/>
      <c r="W107" s="180"/>
      <c r="X107" s="180"/>
    </row>
    <row r="108" ht="15.75" customHeight="1">
      <c r="A108" s="180"/>
      <c r="B108" s="180"/>
      <c r="C108" s="180"/>
      <c r="D108" s="180"/>
      <c r="E108" s="180"/>
      <c r="F108" s="180"/>
      <c r="G108" s="180"/>
      <c r="H108" s="180"/>
      <c r="I108" s="180"/>
      <c r="J108" s="180"/>
      <c r="K108" s="180"/>
      <c r="L108" s="180"/>
      <c r="M108" s="180"/>
      <c r="N108" s="180"/>
      <c r="O108" s="180"/>
      <c r="P108" s="180"/>
      <c r="Q108" s="180"/>
      <c r="R108" s="180"/>
      <c r="S108" s="180"/>
      <c r="T108" s="180"/>
      <c r="U108" s="180"/>
      <c r="V108" s="180"/>
      <c r="W108" s="180"/>
      <c r="X108" s="180"/>
    </row>
    <row r="109" ht="15.75" customHeight="1">
      <c r="A109" s="180"/>
      <c r="B109" s="180"/>
      <c r="C109" s="180"/>
      <c r="D109" s="180"/>
      <c r="E109" s="180"/>
      <c r="F109" s="180"/>
      <c r="G109" s="180"/>
      <c r="H109" s="180"/>
      <c r="I109" s="180"/>
      <c r="J109" s="180"/>
      <c r="K109" s="180"/>
      <c r="L109" s="180"/>
      <c r="M109" s="180"/>
      <c r="N109" s="180"/>
      <c r="O109" s="180"/>
      <c r="P109" s="180"/>
      <c r="Q109" s="180"/>
      <c r="R109" s="180"/>
      <c r="S109" s="180"/>
      <c r="T109" s="180"/>
      <c r="U109" s="180"/>
      <c r="V109" s="180"/>
      <c r="W109" s="180"/>
      <c r="X109" s="180"/>
    </row>
    <row r="110" ht="15.75" customHeight="1">
      <c r="A110" s="180"/>
      <c r="B110" s="180"/>
      <c r="C110" s="180"/>
      <c r="D110" s="180"/>
      <c r="E110" s="180"/>
      <c r="F110" s="180"/>
      <c r="G110" s="180"/>
      <c r="H110" s="180"/>
      <c r="I110" s="180"/>
      <c r="J110" s="180"/>
      <c r="K110" s="180"/>
      <c r="L110" s="180"/>
      <c r="M110" s="180"/>
      <c r="N110" s="180"/>
      <c r="O110" s="180"/>
      <c r="P110" s="180"/>
      <c r="Q110" s="180"/>
      <c r="R110" s="180"/>
      <c r="S110" s="180"/>
      <c r="T110" s="180"/>
      <c r="U110" s="180"/>
      <c r="V110" s="180"/>
      <c r="W110" s="180"/>
      <c r="X110" s="180"/>
    </row>
    <row r="111" ht="15.75" customHeight="1">
      <c r="A111" s="180"/>
      <c r="B111" s="180"/>
      <c r="C111" s="180"/>
      <c r="D111" s="180"/>
      <c r="E111" s="180"/>
      <c r="F111" s="180"/>
      <c r="G111" s="180"/>
      <c r="H111" s="180"/>
      <c r="I111" s="180"/>
      <c r="J111" s="180"/>
      <c r="K111" s="180"/>
      <c r="L111" s="180"/>
      <c r="M111" s="180"/>
      <c r="N111" s="180"/>
      <c r="O111" s="180"/>
      <c r="P111" s="180"/>
      <c r="Q111" s="180"/>
      <c r="R111" s="180"/>
      <c r="S111" s="180"/>
      <c r="T111" s="180"/>
      <c r="U111" s="180"/>
      <c r="V111" s="180"/>
      <c r="W111" s="180"/>
      <c r="X111" s="180"/>
    </row>
    <row r="112" ht="15.75" customHeight="1">
      <c r="A112" s="180"/>
      <c r="B112" s="180"/>
      <c r="C112" s="180"/>
      <c r="D112" s="180"/>
      <c r="E112" s="180"/>
      <c r="F112" s="180"/>
      <c r="G112" s="180"/>
      <c r="H112" s="180"/>
      <c r="I112" s="180"/>
      <c r="J112" s="180"/>
      <c r="K112" s="180"/>
      <c r="L112" s="180"/>
      <c r="M112" s="180"/>
      <c r="N112" s="180"/>
      <c r="O112" s="180"/>
      <c r="P112" s="180"/>
      <c r="Q112" s="180"/>
      <c r="R112" s="180"/>
      <c r="S112" s="180"/>
      <c r="T112" s="180"/>
      <c r="U112" s="180"/>
      <c r="V112" s="180"/>
      <c r="W112" s="180"/>
      <c r="X112" s="180"/>
    </row>
    <row r="113" ht="15.75" customHeight="1">
      <c r="A113" s="180"/>
      <c r="B113" s="180"/>
      <c r="C113" s="180"/>
      <c r="D113" s="180"/>
      <c r="E113" s="180"/>
      <c r="F113" s="180"/>
      <c r="G113" s="180"/>
      <c r="H113" s="180"/>
      <c r="I113" s="180"/>
      <c r="J113" s="180"/>
      <c r="K113" s="180"/>
      <c r="L113" s="180"/>
      <c r="M113" s="180"/>
      <c r="N113" s="180"/>
      <c r="O113" s="180"/>
      <c r="P113" s="180"/>
      <c r="Q113" s="180"/>
      <c r="R113" s="180"/>
      <c r="S113" s="180"/>
      <c r="T113" s="180"/>
      <c r="U113" s="180"/>
      <c r="V113" s="180"/>
      <c r="W113" s="180"/>
      <c r="X113" s="180"/>
    </row>
    <row r="114" ht="15.75" customHeight="1">
      <c r="A114" s="180"/>
      <c r="B114" s="180"/>
      <c r="C114" s="180"/>
      <c r="D114" s="180"/>
      <c r="E114" s="180"/>
      <c r="F114" s="180"/>
      <c r="G114" s="180"/>
      <c r="H114" s="180"/>
      <c r="I114" s="180"/>
      <c r="J114" s="180"/>
      <c r="K114" s="180"/>
      <c r="L114" s="180"/>
      <c r="M114" s="180"/>
      <c r="N114" s="180"/>
      <c r="O114" s="180"/>
      <c r="P114" s="180"/>
      <c r="Q114" s="180"/>
      <c r="R114" s="180"/>
      <c r="S114" s="180"/>
      <c r="T114" s="180"/>
      <c r="U114" s="180"/>
      <c r="V114" s="180"/>
      <c r="W114" s="180"/>
      <c r="X114" s="180"/>
    </row>
    <row r="115" ht="15.75" customHeight="1">
      <c r="A115" s="180"/>
      <c r="B115" s="180"/>
      <c r="C115" s="180"/>
      <c r="D115" s="180"/>
      <c r="E115" s="180"/>
      <c r="F115" s="180"/>
      <c r="G115" s="180"/>
      <c r="H115" s="180"/>
      <c r="I115" s="180"/>
      <c r="J115" s="180"/>
      <c r="K115" s="180"/>
      <c r="L115" s="180"/>
      <c r="M115" s="180"/>
      <c r="N115" s="180"/>
      <c r="O115" s="180"/>
      <c r="P115" s="180"/>
      <c r="Q115" s="180"/>
      <c r="R115" s="180"/>
      <c r="S115" s="180"/>
      <c r="T115" s="180"/>
      <c r="U115" s="180"/>
      <c r="V115" s="180"/>
      <c r="W115" s="180"/>
      <c r="X115" s="180"/>
    </row>
    <row r="116" ht="15.75" customHeight="1">
      <c r="A116" s="180"/>
      <c r="B116" s="180"/>
      <c r="C116" s="180"/>
      <c r="D116" s="180"/>
      <c r="E116" s="180"/>
      <c r="F116" s="180"/>
      <c r="G116" s="180"/>
      <c r="H116" s="180"/>
      <c r="I116" s="180"/>
      <c r="J116" s="180"/>
      <c r="K116" s="180"/>
      <c r="L116" s="180"/>
      <c r="M116" s="180"/>
      <c r="N116" s="180"/>
      <c r="O116" s="180"/>
      <c r="P116" s="180"/>
      <c r="Q116" s="180"/>
      <c r="R116" s="180"/>
      <c r="S116" s="180"/>
      <c r="T116" s="180"/>
      <c r="U116" s="180"/>
      <c r="V116" s="180"/>
      <c r="W116" s="180"/>
      <c r="X116" s="180"/>
    </row>
    <row r="117" ht="15.75" customHeight="1">
      <c r="A117" s="180"/>
      <c r="B117" s="180"/>
      <c r="C117" s="180"/>
      <c r="D117" s="180"/>
      <c r="E117" s="180"/>
      <c r="F117" s="180"/>
      <c r="G117" s="180"/>
      <c r="H117" s="180"/>
      <c r="I117" s="180"/>
      <c r="J117" s="180"/>
      <c r="K117" s="180"/>
      <c r="L117" s="180"/>
      <c r="M117" s="180"/>
      <c r="N117" s="180"/>
      <c r="O117" s="180"/>
      <c r="P117" s="180"/>
      <c r="Q117" s="180"/>
      <c r="R117" s="180"/>
      <c r="S117" s="180"/>
      <c r="T117" s="180"/>
      <c r="U117" s="180"/>
      <c r="V117" s="180"/>
      <c r="W117" s="180"/>
      <c r="X117" s="180"/>
    </row>
    <row r="118" ht="15.75" customHeight="1">
      <c r="A118" s="180"/>
      <c r="B118" s="180"/>
      <c r="C118" s="180"/>
      <c r="D118" s="180"/>
      <c r="E118" s="180"/>
      <c r="F118" s="180"/>
      <c r="G118" s="180"/>
      <c r="H118" s="180"/>
      <c r="I118" s="180"/>
      <c r="J118" s="180"/>
      <c r="K118" s="180"/>
      <c r="L118" s="180"/>
      <c r="M118" s="180"/>
      <c r="N118" s="180"/>
      <c r="O118" s="180"/>
      <c r="P118" s="180"/>
      <c r="Q118" s="180"/>
      <c r="R118" s="180"/>
      <c r="S118" s="180"/>
      <c r="T118" s="180"/>
      <c r="U118" s="180"/>
      <c r="V118" s="180"/>
      <c r="W118" s="180"/>
      <c r="X118" s="180"/>
    </row>
    <row r="119" ht="15.75" customHeight="1">
      <c r="A119" s="180"/>
      <c r="B119" s="180"/>
      <c r="C119" s="180"/>
      <c r="D119" s="180"/>
      <c r="E119" s="180"/>
      <c r="F119" s="180"/>
      <c r="G119" s="180"/>
      <c r="H119" s="180"/>
      <c r="I119" s="180"/>
      <c r="J119" s="180"/>
      <c r="K119" s="180"/>
      <c r="L119" s="180"/>
      <c r="M119" s="180"/>
      <c r="N119" s="180"/>
      <c r="O119" s="180"/>
      <c r="P119" s="180"/>
      <c r="Q119" s="180"/>
      <c r="R119" s="180"/>
      <c r="S119" s="180"/>
      <c r="T119" s="180"/>
      <c r="U119" s="180"/>
      <c r="V119" s="180"/>
      <c r="W119" s="180"/>
      <c r="X119" s="180"/>
    </row>
    <row r="120" ht="15.75" customHeight="1">
      <c r="A120" s="180"/>
      <c r="B120" s="180"/>
      <c r="C120" s="180"/>
      <c r="D120" s="180"/>
      <c r="E120" s="180"/>
      <c r="F120" s="180"/>
      <c r="G120" s="180"/>
      <c r="H120" s="180"/>
      <c r="I120" s="180"/>
      <c r="J120" s="180"/>
      <c r="K120" s="180"/>
      <c r="L120" s="180"/>
      <c r="M120" s="180"/>
      <c r="N120" s="180"/>
      <c r="O120" s="180"/>
      <c r="P120" s="180"/>
      <c r="Q120" s="180"/>
      <c r="R120" s="180"/>
      <c r="S120" s="180"/>
      <c r="T120" s="180"/>
      <c r="U120" s="180"/>
      <c r="V120" s="180"/>
      <c r="W120" s="180"/>
      <c r="X120" s="180"/>
    </row>
    <row r="121" ht="15.75" customHeight="1">
      <c r="A121" s="180"/>
      <c r="B121" s="180"/>
      <c r="C121" s="180"/>
      <c r="D121" s="180"/>
      <c r="E121" s="180"/>
      <c r="F121" s="180"/>
      <c r="G121" s="180"/>
      <c r="H121" s="180"/>
      <c r="I121" s="180"/>
      <c r="J121" s="180"/>
      <c r="K121" s="180"/>
      <c r="L121" s="180"/>
      <c r="M121" s="180"/>
      <c r="N121" s="180"/>
      <c r="O121" s="180"/>
      <c r="P121" s="180"/>
      <c r="Q121" s="180"/>
      <c r="R121" s="180"/>
      <c r="S121" s="180"/>
      <c r="T121" s="180"/>
      <c r="U121" s="180"/>
      <c r="V121" s="180"/>
      <c r="W121" s="180"/>
      <c r="X121" s="180"/>
    </row>
    <row r="122" ht="15.75" customHeight="1">
      <c r="A122" s="180"/>
      <c r="B122" s="180"/>
      <c r="C122" s="180"/>
      <c r="D122" s="180"/>
      <c r="E122" s="180"/>
      <c r="F122" s="180"/>
      <c r="G122" s="180"/>
      <c r="H122" s="180"/>
      <c r="I122" s="180"/>
      <c r="J122" s="180"/>
      <c r="K122" s="180"/>
      <c r="L122" s="180"/>
      <c r="M122" s="180"/>
      <c r="N122" s="180"/>
      <c r="O122" s="180"/>
      <c r="P122" s="180"/>
      <c r="Q122" s="180"/>
      <c r="R122" s="180"/>
      <c r="S122" s="180"/>
      <c r="T122" s="180"/>
      <c r="U122" s="180"/>
      <c r="V122" s="180"/>
      <c r="W122" s="180"/>
      <c r="X122" s="180"/>
    </row>
    <row r="123" ht="15.75" customHeight="1">
      <c r="A123" s="180"/>
      <c r="B123" s="180"/>
      <c r="C123" s="180"/>
      <c r="D123" s="180"/>
      <c r="E123" s="180"/>
      <c r="F123" s="180"/>
      <c r="G123" s="180"/>
      <c r="H123" s="180"/>
      <c r="I123" s="180"/>
      <c r="J123" s="180"/>
      <c r="K123" s="180"/>
      <c r="L123" s="180"/>
      <c r="M123" s="180"/>
      <c r="N123" s="180"/>
      <c r="O123" s="180"/>
      <c r="P123" s="180"/>
      <c r="Q123" s="180"/>
      <c r="R123" s="180"/>
      <c r="S123" s="180"/>
      <c r="T123" s="180"/>
      <c r="U123" s="180"/>
      <c r="V123" s="180"/>
      <c r="W123" s="180"/>
      <c r="X123" s="180"/>
    </row>
    <row r="124" ht="15.75" customHeight="1">
      <c r="A124" s="180"/>
      <c r="B124" s="180"/>
      <c r="C124" s="180"/>
      <c r="D124" s="180"/>
      <c r="E124" s="180"/>
      <c r="F124" s="180"/>
      <c r="G124" s="180"/>
      <c r="H124" s="180"/>
      <c r="I124" s="180"/>
      <c r="J124" s="180"/>
      <c r="K124" s="180"/>
      <c r="L124" s="180"/>
      <c r="M124" s="180"/>
      <c r="N124" s="180"/>
      <c r="O124" s="180"/>
      <c r="P124" s="180"/>
      <c r="Q124" s="180"/>
      <c r="R124" s="180"/>
      <c r="S124" s="180"/>
      <c r="T124" s="180"/>
      <c r="U124" s="180"/>
      <c r="V124" s="180"/>
      <c r="W124" s="180"/>
      <c r="X124" s="180"/>
    </row>
    <row r="125" ht="15.75" customHeight="1">
      <c r="A125" s="180"/>
      <c r="B125" s="180"/>
      <c r="C125" s="180"/>
      <c r="D125" s="180"/>
      <c r="E125" s="180"/>
      <c r="F125" s="180"/>
      <c r="G125" s="180"/>
      <c r="H125" s="180"/>
      <c r="I125" s="180"/>
      <c r="J125" s="180"/>
      <c r="K125" s="180"/>
      <c r="L125" s="180"/>
      <c r="M125" s="180"/>
      <c r="N125" s="180"/>
      <c r="O125" s="180"/>
      <c r="P125" s="180"/>
      <c r="Q125" s="180"/>
      <c r="R125" s="180"/>
      <c r="S125" s="180"/>
      <c r="T125" s="180"/>
      <c r="U125" s="180"/>
      <c r="V125" s="180"/>
      <c r="W125" s="180"/>
      <c r="X125" s="180"/>
    </row>
    <row r="126" ht="15.75" customHeight="1">
      <c r="A126" s="180"/>
      <c r="B126" s="180"/>
      <c r="C126" s="180"/>
      <c r="D126" s="180"/>
      <c r="E126" s="180"/>
      <c r="F126" s="180"/>
      <c r="G126" s="180"/>
      <c r="H126" s="180"/>
      <c r="I126" s="180"/>
      <c r="J126" s="180"/>
      <c r="K126" s="180"/>
      <c r="L126" s="180"/>
      <c r="M126" s="180"/>
      <c r="N126" s="180"/>
      <c r="O126" s="180"/>
      <c r="P126" s="180"/>
      <c r="Q126" s="180"/>
      <c r="R126" s="180"/>
      <c r="S126" s="180"/>
      <c r="T126" s="180"/>
      <c r="U126" s="180"/>
      <c r="V126" s="180"/>
      <c r="W126" s="180"/>
      <c r="X126" s="180"/>
    </row>
    <row r="127" ht="15.75" customHeight="1">
      <c r="A127" s="180"/>
      <c r="B127" s="180"/>
      <c r="C127" s="180"/>
      <c r="D127" s="180"/>
      <c r="E127" s="180"/>
      <c r="F127" s="180"/>
      <c r="G127" s="180"/>
      <c r="H127" s="180"/>
      <c r="I127" s="180"/>
      <c r="J127" s="180"/>
      <c r="K127" s="180"/>
      <c r="L127" s="180"/>
      <c r="M127" s="180"/>
      <c r="N127" s="180"/>
      <c r="O127" s="180"/>
      <c r="P127" s="180"/>
      <c r="Q127" s="180"/>
      <c r="R127" s="180"/>
      <c r="S127" s="180"/>
      <c r="T127" s="180"/>
      <c r="U127" s="180"/>
      <c r="V127" s="180"/>
      <c r="W127" s="180"/>
      <c r="X127" s="180"/>
    </row>
    <row r="128" ht="15.75" customHeight="1">
      <c r="A128" s="180"/>
      <c r="B128" s="180"/>
      <c r="C128" s="180"/>
      <c r="D128" s="180"/>
      <c r="E128" s="180"/>
      <c r="F128" s="180"/>
      <c r="G128" s="180"/>
      <c r="H128" s="180"/>
      <c r="I128" s="180"/>
      <c r="J128" s="180"/>
      <c r="K128" s="180"/>
      <c r="L128" s="180"/>
      <c r="M128" s="180"/>
      <c r="N128" s="180"/>
      <c r="O128" s="180"/>
      <c r="P128" s="180"/>
      <c r="Q128" s="180"/>
      <c r="R128" s="180"/>
      <c r="S128" s="180"/>
      <c r="T128" s="180"/>
      <c r="U128" s="180"/>
      <c r="V128" s="180"/>
      <c r="W128" s="180"/>
      <c r="X128" s="180"/>
    </row>
    <row r="129" ht="15.75" customHeight="1">
      <c r="A129" s="180"/>
      <c r="B129" s="180"/>
      <c r="C129" s="180"/>
      <c r="D129" s="180"/>
      <c r="E129" s="180"/>
      <c r="F129" s="180"/>
      <c r="G129" s="180"/>
      <c r="H129" s="180"/>
      <c r="I129" s="180"/>
      <c r="J129" s="180"/>
      <c r="K129" s="180"/>
      <c r="L129" s="180"/>
      <c r="M129" s="180"/>
      <c r="N129" s="180"/>
      <c r="O129" s="180"/>
      <c r="P129" s="180"/>
      <c r="Q129" s="180"/>
      <c r="R129" s="180"/>
      <c r="S129" s="180"/>
      <c r="T129" s="180"/>
      <c r="U129" s="180"/>
      <c r="V129" s="180"/>
      <c r="W129" s="180"/>
      <c r="X129" s="180"/>
    </row>
    <row r="130" ht="15.75" customHeight="1">
      <c r="A130" s="180"/>
      <c r="B130" s="180"/>
      <c r="C130" s="180"/>
      <c r="D130" s="180"/>
      <c r="E130" s="180"/>
      <c r="F130" s="180"/>
      <c r="G130" s="180"/>
      <c r="H130" s="180"/>
      <c r="I130" s="180"/>
      <c r="J130" s="180"/>
      <c r="K130" s="180"/>
      <c r="L130" s="180"/>
      <c r="M130" s="180"/>
      <c r="N130" s="180"/>
      <c r="O130" s="180"/>
      <c r="P130" s="180"/>
      <c r="Q130" s="180"/>
      <c r="R130" s="180"/>
      <c r="S130" s="180"/>
      <c r="T130" s="180"/>
      <c r="U130" s="180"/>
      <c r="V130" s="180"/>
      <c r="W130" s="180"/>
      <c r="X130" s="180"/>
    </row>
    <row r="131" ht="15.75" customHeight="1">
      <c r="A131" s="180"/>
      <c r="B131" s="180"/>
      <c r="C131" s="180"/>
      <c r="D131" s="180"/>
      <c r="E131" s="180"/>
      <c r="F131" s="180"/>
      <c r="G131" s="180"/>
      <c r="H131" s="180"/>
      <c r="I131" s="180"/>
      <c r="J131" s="180"/>
      <c r="K131" s="180"/>
      <c r="L131" s="180"/>
      <c r="M131" s="180"/>
      <c r="N131" s="180"/>
      <c r="O131" s="180"/>
      <c r="P131" s="180"/>
      <c r="Q131" s="180"/>
      <c r="R131" s="180"/>
      <c r="S131" s="180"/>
      <c r="T131" s="180"/>
      <c r="U131" s="180"/>
      <c r="V131" s="180"/>
      <c r="W131" s="180"/>
      <c r="X131" s="180"/>
    </row>
    <row r="132" ht="15.75" customHeight="1">
      <c r="A132" s="180"/>
      <c r="B132" s="180"/>
      <c r="C132" s="180"/>
      <c r="D132" s="180"/>
      <c r="E132" s="180"/>
      <c r="F132" s="180"/>
      <c r="G132" s="180"/>
      <c r="H132" s="180"/>
      <c r="I132" s="180"/>
      <c r="J132" s="180"/>
      <c r="K132" s="180"/>
      <c r="L132" s="180"/>
      <c r="M132" s="180"/>
      <c r="N132" s="180"/>
      <c r="O132" s="180"/>
      <c r="P132" s="180"/>
      <c r="Q132" s="180"/>
      <c r="R132" s="180"/>
      <c r="S132" s="180"/>
      <c r="T132" s="180"/>
      <c r="U132" s="180"/>
      <c r="V132" s="180"/>
      <c r="W132" s="180"/>
      <c r="X132" s="180"/>
    </row>
    <row r="133" ht="15.75" customHeight="1">
      <c r="A133" s="180"/>
      <c r="B133" s="180"/>
      <c r="C133" s="180"/>
      <c r="D133" s="180"/>
      <c r="E133" s="180"/>
      <c r="F133" s="180"/>
      <c r="G133" s="180"/>
      <c r="H133" s="180"/>
      <c r="I133" s="180"/>
      <c r="J133" s="180"/>
      <c r="K133" s="180"/>
      <c r="L133" s="180"/>
      <c r="M133" s="180"/>
      <c r="N133" s="180"/>
      <c r="O133" s="180"/>
      <c r="P133" s="180"/>
      <c r="Q133" s="180"/>
      <c r="R133" s="180"/>
      <c r="S133" s="180"/>
      <c r="T133" s="180"/>
      <c r="U133" s="180"/>
      <c r="V133" s="180"/>
      <c r="W133" s="180"/>
      <c r="X133" s="180"/>
    </row>
    <row r="134" ht="15.75" customHeight="1">
      <c r="A134" s="180"/>
      <c r="B134" s="180"/>
      <c r="C134" s="180"/>
      <c r="D134" s="180"/>
      <c r="E134" s="180"/>
      <c r="F134" s="180"/>
      <c r="G134" s="180"/>
      <c r="H134" s="180"/>
      <c r="I134" s="180"/>
      <c r="J134" s="180"/>
      <c r="K134" s="180"/>
      <c r="L134" s="180"/>
      <c r="M134" s="180"/>
      <c r="N134" s="180"/>
      <c r="O134" s="180"/>
      <c r="P134" s="180"/>
      <c r="Q134" s="180"/>
      <c r="R134" s="180"/>
      <c r="S134" s="180"/>
      <c r="T134" s="180"/>
      <c r="U134" s="180"/>
      <c r="V134" s="180"/>
      <c r="W134" s="180"/>
      <c r="X134" s="180"/>
    </row>
    <row r="135" ht="15.75" customHeight="1">
      <c r="A135" s="180"/>
      <c r="B135" s="180"/>
      <c r="C135" s="180"/>
      <c r="D135" s="180"/>
      <c r="E135" s="180"/>
      <c r="F135" s="180"/>
      <c r="G135" s="180"/>
      <c r="H135" s="180"/>
      <c r="I135" s="180"/>
      <c r="J135" s="180"/>
      <c r="K135" s="180"/>
      <c r="L135" s="180"/>
      <c r="M135" s="180"/>
      <c r="N135" s="180"/>
      <c r="O135" s="180"/>
      <c r="P135" s="180"/>
      <c r="Q135" s="180"/>
      <c r="R135" s="180"/>
      <c r="S135" s="180"/>
      <c r="T135" s="180"/>
      <c r="U135" s="180"/>
      <c r="V135" s="180"/>
      <c r="W135" s="180"/>
      <c r="X135" s="180"/>
    </row>
    <row r="136" ht="15.75" customHeight="1">
      <c r="A136" s="180"/>
      <c r="B136" s="180"/>
      <c r="C136" s="180"/>
      <c r="D136" s="180"/>
      <c r="E136" s="180"/>
      <c r="F136" s="180"/>
      <c r="G136" s="180"/>
      <c r="H136" s="180"/>
      <c r="I136" s="180"/>
      <c r="J136" s="180"/>
      <c r="K136" s="180"/>
      <c r="L136" s="180"/>
      <c r="M136" s="180"/>
      <c r="N136" s="180"/>
      <c r="O136" s="180"/>
      <c r="P136" s="180"/>
      <c r="Q136" s="180"/>
      <c r="R136" s="180"/>
      <c r="S136" s="180"/>
      <c r="T136" s="180"/>
      <c r="U136" s="180"/>
      <c r="V136" s="180"/>
      <c r="W136" s="180"/>
      <c r="X136" s="180"/>
    </row>
    <row r="137" ht="15.75" customHeight="1">
      <c r="A137" s="180"/>
      <c r="B137" s="180"/>
      <c r="C137" s="180"/>
      <c r="D137" s="180"/>
      <c r="E137" s="180"/>
      <c r="F137" s="180"/>
      <c r="G137" s="180"/>
      <c r="H137" s="180"/>
      <c r="I137" s="180"/>
      <c r="J137" s="180"/>
      <c r="K137" s="180"/>
      <c r="L137" s="180"/>
      <c r="M137" s="180"/>
      <c r="N137" s="180"/>
      <c r="O137" s="180"/>
      <c r="P137" s="180"/>
      <c r="Q137" s="180"/>
      <c r="R137" s="180"/>
      <c r="S137" s="180"/>
      <c r="T137" s="180"/>
      <c r="U137" s="180"/>
      <c r="V137" s="180"/>
      <c r="W137" s="180"/>
      <c r="X137" s="180"/>
    </row>
    <row r="138" ht="15.75" customHeight="1">
      <c r="A138" s="180"/>
      <c r="B138" s="180"/>
      <c r="C138" s="180"/>
      <c r="D138" s="180"/>
      <c r="E138" s="180"/>
      <c r="F138" s="180"/>
      <c r="G138" s="180"/>
      <c r="H138" s="180"/>
      <c r="I138" s="180"/>
      <c r="J138" s="180"/>
      <c r="K138" s="180"/>
      <c r="L138" s="180"/>
      <c r="M138" s="180"/>
      <c r="N138" s="180"/>
      <c r="O138" s="180"/>
      <c r="P138" s="180"/>
      <c r="Q138" s="180"/>
      <c r="R138" s="180"/>
      <c r="S138" s="180"/>
      <c r="T138" s="180"/>
      <c r="U138" s="180"/>
      <c r="V138" s="180"/>
      <c r="W138" s="180"/>
      <c r="X138" s="180"/>
    </row>
    <row r="139" ht="15.75" customHeight="1">
      <c r="A139" s="180"/>
      <c r="B139" s="180"/>
      <c r="C139" s="180"/>
      <c r="D139" s="180"/>
      <c r="E139" s="180"/>
      <c r="F139" s="180"/>
      <c r="G139" s="180"/>
      <c r="H139" s="180"/>
      <c r="I139" s="180"/>
      <c r="J139" s="180"/>
      <c r="K139" s="180"/>
      <c r="L139" s="180"/>
      <c r="M139" s="180"/>
      <c r="N139" s="180"/>
      <c r="O139" s="180"/>
      <c r="P139" s="180"/>
      <c r="Q139" s="180"/>
      <c r="R139" s="180"/>
      <c r="S139" s="180"/>
      <c r="T139" s="180"/>
      <c r="U139" s="180"/>
      <c r="V139" s="180"/>
      <c r="W139" s="180"/>
      <c r="X139" s="180"/>
    </row>
    <row r="140" ht="15.75" customHeight="1">
      <c r="A140" s="180"/>
      <c r="B140" s="180"/>
      <c r="C140" s="180"/>
      <c r="D140" s="180"/>
      <c r="E140" s="180"/>
      <c r="F140" s="180"/>
      <c r="G140" s="180"/>
      <c r="H140" s="180"/>
      <c r="I140" s="180"/>
      <c r="J140" s="180"/>
      <c r="K140" s="180"/>
      <c r="L140" s="180"/>
      <c r="M140" s="180"/>
      <c r="N140" s="180"/>
      <c r="O140" s="180"/>
      <c r="P140" s="180"/>
      <c r="Q140" s="180"/>
      <c r="R140" s="180"/>
      <c r="S140" s="180"/>
      <c r="T140" s="180"/>
      <c r="U140" s="180"/>
      <c r="V140" s="180"/>
      <c r="W140" s="180"/>
      <c r="X140" s="180"/>
    </row>
    <row r="141" ht="15.75" customHeight="1">
      <c r="A141" s="180"/>
      <c r="B141" s="180"/>
      <c r="C141" s="180"/>
      <c r="D141" s="180"/>
      <c r="E141" s="180"/>
      <c r="F141" s="180"/>
      <c r="G141" s="180"/>
      <c r="H141" s="180"/>
      <c r="I141" s="180"/>
      <c r="J141" s="180"/>
      <c r="K141" s="180"/>
      <c r="L141" s="180"/>
      <c r="M141" s="180"/>
      <c r="N141" s="180"/>
      <c r="O141" s="180"/>
      <c r="P141" s="180"/>
      <c r="Q141" s="180"/>
      <c r="R141" s="180"/>
      <c r="S141" s="180"/>
      <c r="T141" s="180"/>
      <c r="U141" s="180"/>
      <c r="V141" s="180"/>
      <c r="W141" s="180"/>
      <c r="X141" s="180"/>
    </row>
    <row r="142" ht="15.75" customHeight="1">
      <c r="A142" s="180"/>
      <c r="B142" s="180"/>
      <c r="C142" s="180"/>
      <c r="D142" s="180"/>
      <c r="E142" s="180"/>
      <c r="F142" s="180"/>
      <c r="G142" s="180"/>
      <c r="H142" s="180"/>
      <c r="I142" s="180"/>
      <c r="J142" s="180"/>
      <c r="K142" s="180"/>
      <c r="L142" s="180"/>
      <c r="M142" s="180"/>
      <c r="N142" s="180"/>
      <c r="O142" s="180"/>
      <c r="P142" s="180"/>
      <c r="Q142" s="180"/>
      <c r="R142" s="180"/>
      <c r="S142" s="180"/>
      <c r="T142" s="180"/>
      <c r="U142" s="180"/>
      <c r="V142" s="180"/>
      <c r="W142" s="180"/>
      <c r="X142" s="180"/>
    </row>
    <row r="143" ht="15.75" customHeight="1">
      <c r="A143" s="180"/>
      <c r="B143" s="180"/>
      <c r="C143" s="180"/>
      <c r="D143" s="180"/>
      <c r="E143" s="180"/>
      <c r="F143" s="180"/>
      <c r="G143" s="180"/>
      <c r="H143" s="180"/>
      <c r="I143" s="180"/>
      <c r="J143" s="180"/>
      <c r="K143" s="180"/>
      <c r="L143" s="180"/>
      <c r="M143" s="180"/>
      <c r="N143" s="180"/>
      <c r="O143" s="180"/>
      <c r="P143" s="180"/>
      <c r="Q143" s="180"/>
      <c r="R143" s="180"/>
      <c r="S143" s="180"/>
      <c r="T143" s="180"/>
      <c r="U143" s="180"/>
      <c r="V143" s="180"/>
      <c r="W143" s="180"/>
      <c r="X143" s="180"/>
    </row>
    <row r="144" ht="15.75" customHeight="1">
      <c r="A144" s="180"/>
      <c r="B144" s="180"/>
      <c r="C144" s="180"/>
      <c r="D144" s="180"/>
      <c r="E144" s="180"/>
      <c r="F144" s="180"/>
      <c r="G144" s="180"/>
      <c r="H144" s="180"/>
      <c r="I144" s="180"/>
      <c r="J144" s="180"/>
      <c r="K144" s="180"/>
      <c r="L144" s="180"/>
      <c r="M144" s="180"/>
      <c r="N144" s="180"/>
      <c r="O144" s="180"/>
      <c r="P144" s="180"/>
      <c r="Q144" s="180"/>
      <c r="R144" s="180"/>
      <c r="S144" s="180"/>
      <c r="T144" s="180"/>
      <c r="U144" s="180"/>
      <c r="V144" s="180"/>
      <c r="W144" s="180"/>
      <c r="X144" s="180"/>
    </row>
    <row r="145" ht="15.75" customHeight="1">
      <c r="A145" s="180"/>
      <c r="B145" s="180"/>
      <c r="C145" s="180"/>
      <c r="D145" s="180"/>
      <c r="E145" s="180"/>
      <c r="F145" s="180"/>
      <c r="G145" s="180"/>
      <c r="H145" s="180"/>
      <c r="I145" s="180"/>
      <c r="J145" s="180"/>
      <c r="K145" s="180"/>
      <c r="L145" s="180"/>
      <c r="M145" s="180"/>
      <c r="N145" s="180"/>
      <c r="O145" s="180"/>
      <c r="P145" s="180"/>
      <c r="Q145" s="180"/>
      <c r="R145" s="180"/>
      <c r="S145" s="180"/>
      <c r="T145" s="180"/>
      <c r="U145" s="180"/>
      <c r="V145" s="180"/>
      <c r="W145" s="180"/>
      <c r="X145" s="180"/>
    </row>
    <row r="146" ht="15.75" customHeight="1">
      <c r="A146" s="180"/>
      <c r="B146" s="180"/>
      <c r="C146" s="180"/>
      <c r="D146" s="180"/>
      <c r="E146" s="180"/>
      <c r="F146" s="180"/>
      <c r="G146" s="180"/>
      <c r="H146" s="180"/>
      <c r="I146" s="180"/>
      <c r="J146" s="180"/>
      <c r="K146" s="180"/>
      <c r="L146" s="180"/>
      <c r="M146" s="180"/>
      <c r="N146" s="180"/>
      <c r="O146" s="180"/>
      <c r="P146" s="180"/>
      <c r="Q146" s="180"/>
      <c r="R146" s="180"/>
      <c r="S146" s="180"/>
      <c r="T146" s="180"/>
      <c r="U146" s="180"/>
      <c r="V146" s="180"/>
      <c r="W146" s="180"/>
      <c r="X146" s="180"/>
    </row>
    <row r="147" ht="15.75" customHeight="1">
      <c r="A147" s="180"/>
      <c r="B147" s="180"/>
      <c r="C147" s="180"/>
      <c r="D147" s="180"/>
      <c r="E147" s="180"/>
      <c r="F147" s="180"/>
      <c r="G147" s="180"/>
      <c r="H147" s="180"/>
      <c r="I147" s="180"/>
      <c r="J147" s="180"/>
      <c r="K147" s="180"/>
      <c r="L147" s="180"/>
      <c r="M147" s="180"/>
      <c r="N147" s="180"/>
      <c r="O147" s="180"/>
      <c r="P147" s="180"/>
      <c r="Q147" s="180"/>
      <c r="R147" s="180"/>
      <c r="S147" s="180"/>
      <c r="T147" s="180"/>
      <c r="U147" s="180"/>
      <c r="V147" s="180"/>
      <c r="W147" s="180"/>
      <c r="X147" s="180"/>
    </row>
    <row r="148" ht="15.75" customHeight="1">
      <c r="A148" s="180"/>
      <c r="B148" s="180"/>
      <c r="C148" s="180"/>
      <c r="D148" s="180"/>
      <c r="E148" s="180"/>
      <c r="F148" s="180"/>
      <c r="G148" s="180"/>
      <c r="H148" s="180"/>
      <c r="I148" s="180"/>
      <c r="J148" s="180"/>
      <c r="K148" s="180"/>
      <c r="L148" s="180"/>
      <c r="M148" s="180"/>
      <c r="N148" s="180"/>
      <c r="O148" s="180"/>
      <c r="P148" s="180"/>
      <c r="Q148" s="180"/>
      <c r="R148" s="180"/>
      <c r="S148" s="180"/>
      <c r="T148" s="180"/>
      <c r="U148" s="180"/>
      <c r="V148" s="180"/>
      <c r="W148" s="180"/>
      <c r="X148" s="180"/>
    </row>
    <row r="149" ht="15.75" customHeight="1">
      <c r="A149" s="180"/>
      <c r="B149" s="180"/>
      <c r="C149" s="180"/>
      <c r="D149" s="180"/>
      <c r="E149" s="180"/>
      <c r="F149" s="180"/>
      <c r="G149" s="180"/>
      <c r="H149" s="180"/>
      <c r="I149" s="180"/>
      <c r="J149" s="180"/>
      <c r="K149" s="180"/>
      <c r="L149" s="180"/>
      <c r="M149" s="180"/>
      <c r="N149" s="180"/>
      <c r="O149" s="180"/>
      <c r="P149" s="180"/>
      <c r="Q149" s="180"/>
      <c r="R149" s="180"/>
      <c r="S149" s="180"/>
      <c r="T149" s="180"/>
      <c r="U149" s="180"/>
      <c r="V149" s="180"/>
      <c r="W149" s="180"/>
      <c r="X149" s="180"/>
    </row>
    <row r="150" ht="15.75" customHeight="1">
      <c r="A150" s="180"/>
      <c r="B150" s="180"/>
      <c r="C150" s="180"/>
      <c r="D150" s="180"/>
      <c r="E150" s="180"/>
      <c r="F150" s="180"/>
      <c r="G150" s="180"/>
      <c r="H150" s="180"/>
      <c r="I150" s="180"/>
      <c r="J150" s="180"/>
      <c r="K150" s="180"/>
      <c r="L150" s="180"/>
      <c r="M150" s="180"/>
      <c r="N150" s="180"/>
      <c r="O150" s="180"/>
      <c r="P150" s="180"/>
      <c r="Q150" s="180"/>
      <c r="R150" s="180"/>
      <c r="S150" s="180"/>
      <c r="T150" s="180"/>
      <c r="U150" s="180"/>
      <c r="V150" s="180"/>
      <c r="W150" s="180"/>
      <c r="X150" s="180"/>
    </row>
    <row r="151" ht="15.75" customHeight="1">
      <c r="A151" s="180"/>
      <c r="B151" s="180"/>
      <c r="C151" s="180"/>
      <c r="D151" s="180"/>
      <c r="E151" s="180"/>
      <c r="F151" s="180"/>
      <c r="G151" s="180"/>
      <c r="H151" s="180"/>
      <c r="I151" s="180"/>
      <c r="J151" s="180"/>
      <c r="K151" s="180"/>
      <c r="L151" s="180"/>
      <c r="M151" s="180"/>
      <c r="N151" s="180"/>
      <c r="O151" s="180"/>
      <c r="P151" s="180"/>
      <c r="Q151" s="180"/>
      <c r="R151" s="180"/>
      <c r="S151" s="180"/>
      <c r="T151" s="180"/>
      <c r="U151" s="180"/>
      <c r="V151" s="180"/>
      <c r="W151" s="180"/>
      <c r="X151" s="180"/>
    </row>
    <row r="152" ht="15.75" customHeight="1">
      <c r="A152" s="180"/>
      <c r="B152" s="180"/>
      <c r="C152" s="180"/>
      <c r="D152" s="180"/>
      <c r="E152" s="180"/>
      <c r="F152" s="180"/>
      <c r="G152" s="180"/>
      <c r="H152" s="180"/>
      <c r="I152" s="180"/>
      <c r="J152" s="180"/>
      <c r="K152" s="180"/>
      <c r="L152" s="180"/>
      <c r="M152" s="180"/>
      <c r="N152" s="180"/>
      <c r="O152" s="180"/>
      <c r="P152" s="180"/>
      <c r="Q152" s="180"/>
      <c r="R152" s="180"/>
      <c r="S152" s="180"/>
      <c r="T152" s="180"/>
      <c r="U152" s="180"/>
      <c r="V152" s="180"/>
      <c r="W152" s="180"/>
      <c r="X152" s="180"/>
    </row>
    <row r="153" ht="15.75" customHeight="1">
      <c r="A153" s="180"/>
      <c r="B153" s="180"/>
      <c r="C153" s="180"/>
      <c r="D153" s="180"/>
      <c r="E153" s="180"/>
      <c r="F153" s="180"/>
      <c r="G153" s="180"/>
      <c r="H153" s="180"/>
      <c r="I153" s="180"/>
      <c r="J153" s="180"/>
      <c r="K153" s="180"/>
      <c r="L153" s="180"/>
      <c r="M153" s="180"/>
      <c r="N153" s="180"/>
      <c r="O153" s="180"/>
      <c r="P153" s="180"/>
      <c r="Q153" s="180"/>
      <c r="R153" s="180"/>
      <c r="S153" s="180"/>
      <c r="T153" s="180"/>
      <c r="U153" s="180"/>
      <c r="V153" s="180"/>
      <c r="W153" s="180"/>
      <c r="X153" s="180"/>
    </row>
    <row r="154" ht="15.75" customHeight="1">
      <c r="A154" s="180"/>
      <c r="B154" s="180"/>
      <c r="C154" s="180"/>
      <c r="D154" s="180"/>
      <c r="E154" s="180"/>
      <c r="F154" s="180"/>
      <c r="G154" s="180"/>
      <c r="H154" s="180"/>
      <c r="I154" s="180"/>
      <c r="J154" s="180"/>
      <c r="K154" s="180"/>
      <c r="L154" s="180"/>
      <c r="M154" s="180"/>
      <c r="N154" s="180"/>
      <c r="O154" s="180"/>
      <c r="P154" s="180"/>
      <c r="Q154" s="180"/>
      <c r="R154" s="180"/>
      <c r="S154" s="180"/>
      <c r="T154" s="180"/>
      <c r="U154" s="180"/>
      <c r="V154" s="180"/>
      <c r="W154" s="180"/>
      <c r="X154" s="180"/>
    </row>
    <row r="155" ht="15.75" customHeight="1">
      <c r="A155" s="180"/>
      <c r="B155" s="180"/>
      <c r="C155" s="180"/>
      <c r="D155" s="180"/>
      <c r="E155" s="180"/>
      <c r="F155" s="180"/>
      <c r="G155" s="180"/>
      <c r="H155" s="180"/>
      <c r="I155" s="180"/>
      <c r="J155" s="180"/>
      <c r="K155" s="180"/>
      <c r="L155" s="180"/>
      <c r="M155" s="180"/>
      <c r="N155" s="180"/>
      <c r="O155" s="180"/>
      <c r="P155" s="180"/>
      <c r="Q155" s="180"/>
      <c r="R155" s="180"/>
      <c r="S155" s="180"/>
      <c r="T155" s="180"/>
      <c r="U155" s="180"/>
      <c r="V155" s="180"/>
      <c r="W155" s="180"/>
      <c r="X155" s="180"/>
    </row>
    <row r="156" ht="15.75" customHeight="1">
      <c r="A156" s="180"/>
      <c r="B156" s="180"/>
      <c r="C156" s="180"/>
      <c r="D156" s="180"/>
      <c r="E156" s="180"/>
      <c r="F156" s="180"/>
      <c r="G156" s="180"/>
      <c r="H156" s="180"/>
      <c r="I156" s="180"/>
      <c r="J156" s="180"/>
      <c r="K156" s="180"/>
      <c r="L156" s="180"/>
      <c r="M156" s="180"/>
      <c r="N156" s="180"/>
      <c r="O156" s="180"/>
      <c r="P156" s="180"/>
      <c r="Q156" s="180"/>
      <c r="R156" s="180"/>
      <c r="S156" s="180"/>
      <c r="T156" s="180"/>
      <c r="U156" s="180"/>
      <c r="V156" s="180"/>
      <c r="W156" s="180"/>
      <c r="X156" s="180"/>
    </row>
    <row r="157" ht="15.75" customHeight="1">
      <c r="A157" s="180"/>
      <c r="B157" s="180"/>
      <c r="C157" s="180"/>
      <c r="D157" s="180"/>
      <c r="E157" s="180"/>
      <c r="F157" s="180"/>
      <c r="G157" s="180"/>
      <c r="H157" s="180"/>
      <c r="I157" s="180"/>
      <c r="J157" s="180"/>
      <c r="K157" s="180"/>
      <c r="L157" s="180"/>
      <c r="M157" s="180"/>
      <c r="N157" s="180"/>
      <c r="O157" s="180"/>
      <c r="P157" s="180"/>
      <c r="Q157" s="180"/>
      <c r="R157" s="180"/>
      <c r="S157" s="180"/>
      <c r="T157" s="180"/>
      <c r="U157" s="180"/>
      <c r="V157" s="180"/>
      <c r="W157" s="180"/>
      <c r="X157" s="180"/>
    </row>
    <row r="158" ht="15.75" customHeight="1">
      <c r="A158" s="180"/>
      <c r="B158" s="180"/>
      <c r="C158" s="180"/>
      <c r="D158" s="180"/>
      <c r="E158" s="180"/>
      <c r="F158" s="180"/>
      <c r="G158" s="180"/>
      <c r="H158" s="180"/>
      <c r="I158" s="180"/>
      <c r="J158" s="180"/>
      <c r="K158" s="180"/>
      <c r="L158" s="180"/>
      <c r="M158" s="180"/>
      <c r="N158" s="180"/>
      <c r="O158" s="180"/>
      <c r="P158" s="180"/>
      <c r="Q158" s="180"/>
      <c r="R158" s="180"/>
      <c r="S158" s="180"/>
      <c r="T158" s="180"/>
      <c r="U158" s="180"/>
      <c r="V158" s="180"/>
      <c r="W158" s="180"/>
      <c r="X158" s="180"/>
    </row>
    <row r="159" ht="15.75" customHeight="1">
      <c r="A159" s="180"/>
      <c r="B159" s="180"/>
      <c r="C159" s="180"/>
      <c r="D159" s="180"/>
      <c r="E159" s="180"/>
      <c r="F159" s="180"/>
      <c r="G159" s="180"/>
      <c r="H159" s="180"/>
      <c r="I159" s="180"/>
      <c r="J159" s="180"/>
      <c r="K159" s="180"/>
      <c r="L159" s="180"/>
      <c r="M159" s="180"/>
      <c r="N159" s="180"/>
      <c r="O159" s="180"/>
      <c r="P159" s="180"/>
      <c r="Q159" s="180"/>
      <c r="R159" s="180"/>
      <c r="S159" s="180"/>
      <c r="T159" s="180"/>
      <c r="U159" s="180"/>
      <c r="V159" s="180"/>
      <c r="W159" s="180"/>
      <c r="X159" s="180"/>
    </row>
    <row r="160" ht="15.75" customHeight="1">
      <c r="A160" s="180"/>
      <c r="B160" s="180"/>
      <c r="C160" s="180"/>
      <c r="D160" s="180"/>
      <c r="E160" s="180"/>
      <c r="F160" s="180"/>
      <c r="G160" s="180"/>
      <c r="H160" s="180"/>
      <c r="I160" s="180"/>
      <c r="J160" s="180"/>
      <c r="K160" s="180"/>
      <c r="L160" s="180"/>
      <c r="M160" s="180"/>
      <c r="N160" s="180"/>
      <c r="O160" s="180"/>
      <c r="P160" s="180"/>
      <c r="Q160" s="180"/>
      <c r="R160" s="180"/>
      <c r="S160" s="180"/>
      <c r="T160" s="180"/>
      <c r="U160" s="180"/>
      <c r="V160" s="180"/>
      <c r="W160" s="180"/>
      <c r="X160" s="180"/>
    </row>
    <row r="161" ht="15.75" customHeight="1">
      <c r="A161" s="180"/>
      <c r="B161" s="180"/>
      <c r="C161" s="180"/>
      <c r="D161" s="180"/>
      <c r="E161" s="180"/>
      <c r="F161" s="180"/>
      <c r="G161" s="180"/>
      <c r="H161" s="180"/>
      <c r="I161" s="180"/>
      <c r="J161" s="180"/>
      <c r="K161" s="180"/>
      <c r="L161" s="180"/>
      <c r="M161" s="180"/>
      <c r="N161" s="180"/>
      <c r="O161" s="180"/>
      <c r="P161" s="180"/>
      <c r="Q161" s="180"/>
      <c r="R161" s="180"/>
      <c r="S161" s="180"/>
      <c r="T161" s="180"/>
      <c r="U161" s="180"/>
      <c r="V161" s="180"/>
      <c r="W161" s="180"/>
      <c r="X161" s="180"/>
    </row>
    <row r="162" ht="15.75" customHeight="1">
      <c r="A162" s="180"/>
      <c r="B162" s="180"/>
      <c r="C162" s="180"/>
      <c r="D162" s="180"/>
      <c r="E162" s="180"/>
      <c r="F162" s="180"/>
      <c r="G162" s="180"/>
      <c r="H162" s="180"/>
      <c r="I162" s="180"/>
      <c r="J162" s="180"/>
      <c r="K162" s="180"/>
      <c r="L162" s="180"/>
      <c r="M162" s="180"/>
      <c r="N162" s="180"/>
      <c r="O162" s="180"/>
      <c r="P162" s="180"/>
      <c r="Q162" s="180"/>
      <c r="R162" s="180"/>
      <c r="S162" s="180"/>
      <c r="T162" s="180"/>
      <c r="U162" s="180"/>
      <c r="V162" s="180"/>
      <c r="W162" s="180"/>
      <c r="X162" s="180"/>
    </row>
    <row r="163" ht="15.75" customHeight="1">
      <c r="A163" s="180"/>
      <c r="B163" s="180"/>
      <c r="C163" s="180"/>
      <c r="D163" s="180"/>
      <c r="E163" s="180"/>
      <c r="F163" s="180"/>
      <c r="G163" s="180"/>
      <c r="H163" s="180"/>
      <c r="I163" s="180"/>
      <c r="J163" s="180"/>
      <c r="K163" s="180"/>
      <c r="L163" s="180"/>
      <c r="M163" s="180"/>
      <c r="N163" s="180"/>
      <c r="O163" s="180"/>
      <c r="P163" s="180"/>
      <c r="Q163" s="180"/>
      <c r="R163" s="180"/>
      <c r="S163" s="180"/>
      <c r="T163" s="180"/>
      <c r="U163" s="180"/>
      <c r="V163" s="180"/>
      <c r="W163" s="180"/>
      <c r="X163" s="180"/>
    </row>
    <row r="164" ht="15.75" customHeight="1">
      <c r="A164" s="180"/>
      <c r="B164" s="180"/>
      <c r="C164" s="180"/>
      <c r="D164" s="180"/>
      <c r="E164" s="180"/>
      <c r="F164" s="180"/>
      <c r="G164" s="180"/>
      <c r="H164" s="180"/>
      <c r="I164" s="180"/>
      <c r="J164" s="180"/>
      <c r="K164" s="180"/>
      <c r="L164" s="180"/>
      <c r="M164" s="180"/>
      <c r="N164" s="180"/>
      <c r="O164" s="180"/>
      <c r="P164" s="180"/>
      <c r="Q164" s="180"/>
      <c r="R164" s="180"/>
      <c r="S164" s="180"/>
      <c r="T164" s="180"/>
      <c r="U164" s="180"/>
      <c r="V164" s="180"/>
      <c r="W164" s="180"/>
      <c r="X164" s="180"/>
    </row>
    <row r="165" ht="15.75" customHeight="1">
      <c r="A165" s="180"/>
      <c r="B165" s="180"/>
      <c r="C165" s="180"/>
      <c r="D165" s="180"/>
      <c r="E165" s="180"/>
      <c r="F165" s="180"/>
      <c r="G165" s="180"/>
      <c r="H165" s="180"/>
      <c r="I165" s="180"/>
      <c r="J165" s="180"/>
      <c r="K165" s="180"/>
      <c r="L165" s="180"/>
      <c r="M165" s="180"/>
      <c r="N165" s="180"/>
      <c r="O165" s="180"/>
      <c r="P165" s="180"/>
      <c r="Q165" s="180"/>
      <c r="R165" s="180"/>
      <c r="S165" s="180"/>
      <c r="T165" s="180"/>
      <c r="U165" s="180"/>
      <c r="V165" s="180"/>
      <c r="W165" s="180"/>
      <c r="X165" s="180"/>
    </row>
    <row r="166" ht="15.75" customHeight="1">
      <c r="A166" s="180"/>
      <c r="B166" s="180"/>
      <c r="C166" s="180"/>
      <c r="D166" s="180"/>
      <c r="E166" s="180"/>
      <c r="F166" s="180"/>
      <c r="G166" s="180"/>
      <c r="H166" s="180"/>
      <c r="I166" s="180"/>
      <c r="J166" s="180"/>
      <c r="K166" s="180"/>
      <c r="L166" s="180"/>
      <c r="M166" s="180"/>
      <c r="N166" s="180"/>
      <c r="O166" s="180"/>
      <c r="P166" s="180"/>
      <c r="Q166" s="180"/>
      <c r="R166" s="180"/>
      <c r="S166" s="180"/>
      <c r="T166" s="180"/>
      <c r="U166" s="180"/>
      <c r="V166" s="180"/>
      <c r="W166" s="180"/>
      <c r="X166" s="180"/>
    </row>
    <row r="167" ht="15.75" customHeight="1">
      <c r="A167" s="180"/>
      <c r="B167" s="180"/>
      <c r="C167" s="180"/>
      <c r="D167" s="180"/>
      <c r="E167" s="180"/>
      <c r="F167" s="180"/>
      <c r="G167" s="180"/>
      <c r="H167" s="180"/>
      <c r="I167" s="180"/>
      <c r="J167" s="180"/>
      <c r="K167" s="180"/>
      <c r="L167" s="180"/>
      <c r="M167" s="180"/>
      <c r="N167" s="180"/>
      <c r="O167" s="180"/>
      <c r="P167" s="180"/>
      <c r="Q167" s="180"/>
      <c r="R167" s="180"/>
      <c r="S167" s="180"/>
      <c r="T167" s="180"/>
      <c r="U167" s="180"/>
      <c r="V167" s="180"/>
      <c r="W167" s="180"/>
      <c r="X167" s="180"/>
    </row>
    <row r="168" ht="15.75" customHeight="1">
      <c r="A168" s="180"/>
      <c r="B168" s="180"/>
      <c r="C168" s="180"/>
      <c r="D168" s="180"/>
      <c r="E168" s="180"/>
      <c r="F168" s="180"/>
      <c r="G168" s="180"/>
      <c r="H168" s="180"/>
      <c r="I168" s="180"/>
      <c r="J168" s="180"/>
      <c r="K168" s="180"/>
      <c r="L168" s="180"/>
      <c r="M168" s="180"/>
      <c r="N168" s="180"/>
      <c r="O168" s="180"/>
      <c r="P168" s="180"/>
      <c r="Q168" s="180"/>
      <c r="R168" s="180"/>
      <c r="S168" s="180"/>
      <c r="T168" s="180"/>
      <c r="U168" s="180"/>
      <c r="V168" s="180"/>
      <c r="W168" s="180"/>
      <c r="X168" s="180"/>
    </row>
    <row r="169" ht="15.75" customHeight="1">
      <c r="A169" s="180"/>
      <c r="B169" s="180"/>
      <c r="C169" s="180"/>
      <c r="D169" s="180"/>
      <c r="E169" s="180"/>
      <c r="F169" s="180"/>
      <c r="G169" s="180"/>
      <c r="H169" s="180"/>
      <c r="I169" s="180"/>
      <c r="J169" s="180"/>
      <c r="K169" s="180"/>
      <c r="L169" s="180"/>
      <c r="M169" s="180"/>
      <c r="N169" s="180"/>
      <c r="O169" s="180"/>
      <c r="P169" s="180"/>
      <c r="Q169" s="180"/>
      <c r="R169" s="180"/>
      <c r="S169" s="180"/>
      <c r="T169" s="180"/>
      <c r="U169" s="180"/>
      <c r="V169" s="180"/>
      <c r="W169" s="180"/>
      <c r="X169" s="180"/>
    </row>
    <row r="170" ht="15.75" customHeight="1">
      <c r="A170" s="180"/>
      <c r="B170" s="180"/>
      <c r="C170" s="180"/>
      <c r="D170" s="180"/>
      <c r="E170" s="180"/>
      <c r="F170" s="180"/>
      <c r="G170" s="180"/>
      <c r="H170" s="180"/>
      <c r="I170" s="180"/>
      <c r="J170" s="180"/>
      <c r="K170" s="180"/>
      <c r="L170" s="180"/>
      <c r="M170" s="180"/>
      <c r="N170" s="180"/>
      <c r="O170" s="180"/>
      <c r="P170" s="180"/>
      <c r="Q170" s="180"/>
      <c r="R170" s="180"/>
      <c r="S170" s="180"/>
      <c r="T170" s="180"/>
      <c r="U170" s="180"/>
      <c r="V170" s="180"/>
      <c r="W170" s="180"/>
      <c r="X170" s="180"/>
    </row>
    <row r="171" ht="15.75" customHeight="1">
      <c r="A171" s="180"/>
      <c r="B171" s="180"/>
      <c r="C171" s="180"/>
      <c r="D171" s="180"/>
      <c r="E171" s="180"/>
      <c r="F171" s="180"/>
      <c r="G171" s="180"/>
      <c r="H171" s="180"/>
      <c r="I171" s="180"/>
      <c r="J171" s="180"/>
      <c r="K171" s="180"/>
      <c r="L171" s="180"/>
      <c r="M171" s="180"/>
      <c r="N171" s="180"/>
      <c r="O171" s="180"/>
      <c r="P171" s="180"/>
      <c r="Q171" s="180"/>
      <c r="R171" s="180"/>
      <c r="S171" s="180"/>
      <c r="T171" s="180"/>
      <c r="U171" s="180"/>
      <c r="V171" s="180"/>
      <c r="W171" s="180"/>
      <c r="X171" s="180"/>
    </row>
    <row r="172" ht="15.75" customHeight="1">
      <c r="A172" s="180"/>
      <c r="B172" s="180"/>
      <c r="C172" s="180"/>
      <c r="D172" s="180"/>
      <c r="E172" s="180"/>
      <c r="F172" s="180"/>
      <c r="G172" s="180"/>
      <c r="H172" s="180"/>
      <c r="I172" s="180"/>
      <c r="J172" s="180"/>
      <c r="K172" s="180"/>
      <c r="L172" s="180"/>
      <c r="M172" s="180"/>
      <c r="N172" s="180"/>
      <c r="O172" s="180"/>
      <c r="P172" s="180"/>
      <c r="Q172" s="180"/>
      <c r="R172" s="180"/>
      <c r="S172" s="180"/>
      <c r="T172" s="180"/>
      <c r="U172" s="180"/>
      <c r="V172" s="180"/>
      <c r="W172" s="180"/>
      <c r="X172" s="180"/>
    </row>
    <row r="173" ht="15.75" customHeight="1">
      <c r="A173" s="180"/>
      <c r="B173" s="180"/>
      <c r="C173" s="180"/>
      <c r="D173" s="180"/>
      <c r="E173" s="180"/>
      <c r="F173" s="180"/>
      <c r="G173" s="180"/>
      <c r="H173" s="180"/>
      <c r="I173" s="180"/>
      <c r="J173" s="180"/>
      <c r="K173" s="180"/>
      <c r="L173" s="180"/>
      <c r="M173" s="180"/>
      <c r="N173" s="180"/>
      <c r="O173" s="180"/>
      <c r="P173" s="180"/>
      <c r="Q173" s="180"/>
      <c r="R173" s="180"/>
      <c r="S173" s="180"/>
      <c r="T173" s="180"/>
      <c r="U173" s="180"/>
      <c r="V173" s="180"/>
      <c r="W173" s="180"/>
      <c r="X173" s="180"/>
    </row>
    <row r="174" ht="15.75" customHeight="1">
      <c r="A174" s="180"/>
      <c r="B174" s="180"/>
      <c r="C174" s="180"/>
      <c r="D174" s="180"/>
      <c r="E174" s="180"/>
      <c r="F174" s="180"/>
      <c r="G174" s="180"/>
      <c r="H174" s="180"/>
      <c r="I174" s="180"/>
      <c r="J174" s="180"/>
      <c r="K174" s="180"/>
      <c r="L174" s="180"/>
      <c r="M174" s="180"/>
      <c r="N174" s="180"/>
      <c r="O174" s="180"/>
      <c r="P174" s="180"/>
      <c r="Q174" s="180"/>
      <c r="R174" s="180"/>
      <c r="S174" s="180"/>
      <c r="T174" s="180"/>
      <c r="U174" s="180"/>
      <c r="V174" s="180"/>
      <c r="W174" s="180"/>
      <c r="X174" s="180"/>
    </row>
    <row r="175" ht="15.75" customHeight="1">
      <c r="A175" s="180"/>
      <c r="B175" s="180"/>
      <c r="C175" s="180"/>
      <c r="D175" s="180"/>
      <c r="E175" s="180"/>
      <c r="F175" s="180"/>
      <c r="G175" s="180"/>
      <c r="H175" s="180"/>
      <c r="I175" s="180"/>
      <c r="J175" s="180"/>
      <c r="K175" s="180"/>
      <c r="L175" s="180"/>
      <c r="M175" s="180"/>
      <c r="N175" s="180"/>
      <c r="O175" s="180"/>
      <c r="P175" s="180"/>
      <c r="Q175" s="180"/>
      <c r="R175" s="180"/>
      <c r="S175" s="180"/>
      <c r="T175" s="180"/>
      <c r="U175" s="180"/>
      <c r="V175" s="180"/>
      <c r="W175" s="180"/>
      <c r="X175" s="180"/>
    </row>
    <row r="176" ht="15.75" customHeight="1">
      <c r="A176" s="180"/>
      <c r="B176" s="180"/>
      <c r="C176" s="180"/>
      <c r="D176" s="180"/>
      <c r="E176" s="180"/>
      <c r="F176" s="180"/>
      <c r="G176" s="180"/>
      <c r="H176" s="180"/>
      <c r="I176" s="180"/>
      <c r="J176" s="180"/>
      <c r="K176" s="180"/>
      <c r="L176" s="180"/>
      <c r="M176" s="180"/>
      <c r="N176" s="180"/>
      <c r="O176" s="180"/>
      <c r="P176" s="180"/>
      <c r="Q176" s="180"/>
      <c r="R176" s="180"/>
      <c r="S176" s="180"/>
      <c r="T176" s="180"/>
      <c r="U176" s="180"/>
      <c r="V176" s="180"/>
      <c r="W176" s="180"/>
      <c r="X176" s="180"/>
    </row>
    <row r="177" ht="15.75" customHeight="1">
      <c r="A177" s="180"/>
      <c r="B177" s="180"/>
      <c r="C177" s="180"/>
      <c r="D177" s="180"/>
      <c r="E177" s="180"/>
      <c r="F177" s="180"/>
      <c r="G177" s="180"/>
      <c r="H177" s="180"/>
      <c r="I177" s="180"/>
      <c r="J177" s="180"/>
      <c r="K177" s="180"/>
      <c r="L177" s="180"/>
      <c r="M177" s="180"/>
      <c r="N177" s="180"/>
      <c r="O177" s="180"/>
      <c r="P177" s="180"/>
      <c r="Q177" s="180"/>
      <c r="R177" s="180"/>
      <c r="S177" s="180"/>
      <c r="T177" s="180"/>
      <c r="U177" s="180"/>
      <c r="V177" s="180"/>
      <c r="W177" s="180"/>
      <c r="X177" s="180"/>
    </row>
    <row r="178" ht="15.75" customHeight="1">
      <c r="A178" s="180"/>
      <c r="B178" s="180"/>
      <c r="C178" s="180"/>
      <c r="D178" s="180"/>
      <c r="E178" s="180"/>
      <c r="F178" s="180"/>
      <c r="G178" s="180"/>
      <c r="H178" s="180"/>
      <c r="I178" s="180"/>
      <c r="J178" s="180"/>
      <c r="K178" s="180"/>
      <c r="L178" s="180"/>
      <c r="M178" s="180"/>
      <c r="N178" s="180"/>
      <c r="O178" s="180"/>
      <c r="P178" s="180"/>
      <c r="Q178" s="180"/>
      <c r="R178" s="180"/>
      <c r="S178" s="180"/>
      <c r="T178" s="180"/>
      <c r="U178" s="180"/>
      <c r="V178" s="180"/>
      <c r="W178" s="180"/>
      <c r="X178" s="180"/>
    </row>
    <row r="179" ht="15.75" customHeight="1">
      <c r="A179" s="180"/>
      <c r="B179" s="180"/>
      <c r="C179" s="180"/>
      <c r="D179" s="180"/>
      <c r="E179" s="180"/>
      <c r="F179" s="180"/>
      <c r="G179" s="180"/>
      <c r="H179" s="180"/>
      <c r="I179" s="180"/>
      <c r="J179" s="180"/>
      <c r="K179" s="180"/>
      <c r="L179" s="180"/>
      <c r="M179" s="180"/>
      <c r="N179" s="180"/>
      <c r="O179" s="180"/>
      <c r="P179" s="180"/>
      <c r="Q179" s="180"/>
      <c r="R179" s="180"/>
      <c r="S179" s="180"/>
      <c r="T179" s="180"/>
      <c r="U179" s="180"/>
      <c r="V179" s="180"/>
      <c r="W179" s="180"/>
      <c r="X179" s="180"/>
    </row>
    <row r="180" ht="15.75" customHeight="1">
      <c r="A180" s="180"/>
      <c r="B180" s="180"/>
      <c r="C180" s="180"/>
      <c r="D180" s="180"/>
      <c r="E180" s="180"/>
      <c r="F180" s="180"/>
      <c r="G180" s="180"/>
      <c r="H180" s="180"/>
      <c r="I180" s="180"/>
      <c r="J180" s="180"/>
      <c r="K180" s="180"/>
      <c r="L180" s="180"/>
      <c r="M180" s="180"/>
      <c r="N180" s="180"/>
      <c r="O180" s="180"/>
      <c r="P180" s="180"/>
      <c r="Q180" s="180"/>
      <c r="R180" s="180"/>
      <c r="S180" s="180"/>
      <c r="T180" s="180"/>
      <c r="U180" s="180"/>
      <c r="V180" s="180"/>
      <c r="W180" s="180"/>
      <c r="X180" s="180"/>
    </row>
    <row r="181" ht="15.75" customHeight="1">
      <c r="A181" s="180"/>
      <c r="B181" s="180"/>
      <c r="C181" s="180"/>
      <c r="D181" s="180"/>
      <c r="E181" s="180"/>
      <c r="F181" s="180"/>
      <c r="G181" s="180"/>
      <c r="H181" s="180"/>
      <c r="I181" s="180"/>
      <c r="J181" s="180"/>
      <c r="K181" s="180"/>
      <c r="L181" s="180"/>
      <c r="M181" s="180"/>
      <c r="N181" s="180"/>
      <c r="O181" s="180"/>
      <c r="P181" s="180"/>
      <c r="Q181" s="180"/>
      <c r="R181" s="180"/>
      <c r="S181" s="180"/>
      <c r="T181" s="180"/>
      <c r="U181" s="180"/>
      <c r="V181" s="180"/>
      <c r="W181" s="180"/>
      <c r="X181" s="180"/>
    </row>
    <row r="182" ht="15.75" customHeight="1">
      <c r="A182" s="180"/>
      <c r="B182" s="180"/>
      <c r="C182" s="180"/>
      <c r="D182" s="180"/>
      <c r="E182" s="180"/>
      <c r="F182" s="180"/>
      <c r="G182" s="180"/>
      <c r="H182" s="180"/>
      <c r="I182" s="180"/>
      <c r="J182" s="180"/>
      <c r="K182" s="180"/>
      <c r="L182" s="180"/>
      <c r="M182" s="180"/>
      <c r="N182" s="180"/>
      <c r="O182" s="180"/>
      <c r="P182" s="180"/>
      <c r="Q182" s="180"/>
      <c r="R182" s="180"/>
      <c r="S182" s="180"/>
      <c r="T182" s="180"/>
      <c r="U182" s="180"/>
      <c r="V182" s="180"/>
      <c r="W182" s="180"/>
      <c r="X182" s="180"/>
    </row>
    <row r="183" ht="15.75" customHeight="1">
      <c r="A183" s="180"/>
      <c r="B183" s="180"/>
      <c r="C183" s="180"/>
      <c r="D183" s="180"/>
      <c r="E183" s="180"/>
      <c r="F183" s="180"/>
      <c r="G183" s="180"/>
      <c r="H183" s="180"/>
      <c r="I183" s="180"/>
      <c r="J183" s="180"/>
      <c r="K183" s="180"/>
      <c r="L183" s="180"/>
      <c r="M183" s="180"/>
      <c r="N183" s="180"/>
      <c r="O183" s="180"/>
      <c r="P183" s="180"/>
      <c r="Q183" s="180"/>
      <c r="R183" s="180"/>
      <c r="S183" s="180"/>
      <c r="T183" s="180"/>
      <c r="U183" s="180"/>
      <c r="V183" s="180"/>
      <c r="W183" s="180"/>
      <c r="X183" s="180"/>
    </row>
    <row r="184" ht="15.75" customHeight="1">
      <c r="A184" s="180"/>
      <c r="B184" s="180"/>
      <c r="C184" s="180"/>
      <c r="D184" s="180"/>
      <c r="E184" s="180"/>
      <c r="F184" s="180"/>
      <c r="G184" s="180"/>
      <c r="H184" s="180"/>
      <c r="I184" s="180"/>
      <c r="J184" s="180"/>
      <c r="K184" s="180"/>
      <c r="L184" s="180"/>
      <c r="M184" s="180"/>
      <c r="N184" s="180"/>
      <c r="O184" s="180"/>
      <c r="P184" s="180"/>
      <c r="Q184" s="180"/>
      <c r="R184" s="180"/>
      <c r="S184" s="180"/>
      <c r="T184" s="180"/>
      <c r="U184" s="180"/>
      <c r="V184" s="180"/>
      <c r="W184" s="180"/>
      <c r="X184" s="180"/>
    </row>
    <row r="185" ht="15.75" customHeight="1">
      <c r="A185" s="180"/>
      <c r="B185" s="180"/>
      <c r="C185" s="180"/>
      <c r="D185" s="180"/>
      <c r="E185" s="180"/>
      <c r="F185" s="180"/>
      <c r="G185" s="180"/>
      <c r="H185" s="180"/>
      <c r="I185" s="180"/>
      <c r="J185" s="180"/>
      <c r="K185" s="180"/>
      <c r="L185" s="180"/>
      <c r="M185" s="180"/>
      <c r="N185" s="180"/>
      <c r="O185" s="180"/>
      <c r="P185" s="180"/>
      <c r="Q185" s="180"/>
      <c r="R185" s="180"/>
      <c r="S185" s="180"/>
      <c r="T185" s="180"/>
      <c r="U185" s="180"/>
      <c r="V185" s="180"/>
      <c r="W185" s="180"/>
      <c r="X185" s="180"/>
    </row>
    <row r="186" ht="15.75" customHeight="1">
      <c r="A186" s="180"/>
      <c r="B186" s="180"/>
      <c r="C186" s="180"/>
      <c r="D186" s="180"/>
      <c r="E186" s="180"/>
      <c r="F186" s="180"/>
      <c r="G186" s="180"/>
      <c r="H186" s="180"/>
      <c r="I186" s="180"/>
      <c r="J186" s="180"/>
      <c r="K186" s="180"/>
      <c r="L186" s="180"/>
      <c r="M186" s="180"/>
      <c r="N186" s="180"/>
      <c r="O186" s="180"/>
      <c r="P186" s="180"/>
      <c r="Q186" s="180"/>
      <c r="R186" s="180"/>
      <c r="S186" s="180"/>
      <c r="T186" s="180"/>
      <c r="U186" s="180"/>
      <c r="V186" s="180"/>
      <c r="W186" s="180"/>
      <c r="X186" s="180"/>
    </row>
    <row r="187" ht="15.75" customHeight="1">
      <c r="A187" s="180"/>
      <c r="B187" s="180"/>
      <c r="C187" s="180"/>
      <c r="D187" s="180"/>
      <c r="E187" s="180"/>
      <c r="F187" s="180"/>
      <c r="G187" s="180"/>
      <c r="H187" s="180"/>
      <c r="I187" s="180"/>
      <c r="J187" s="180"/>
      <c r="K187" s="180"/>
      <c r="L187" s="180"/>
      <c r="M187" s="180"/>
      <c r="N187" s="180"/>
      <c r="O187" s="180"/>
      <c r="P187" s="180"/>
      <c r="Q187" s="180"/>
      <c r="R187" s="180"/>
      <c r="S187" s="180"/>
      <c r="T187" s="180"/>
      <c r="U187" s="180"/>
      <c r="V187" s="180"/>
      <c r="W187" s="180"/>
      <c r="X187" s="180"/>
    </row>
    <row r="188" ht="15.75" customHeight="1">
      <c r="A188" s="180"/>
      <c r="B188" s="180"/>
      <c r="C188" s="180"/>
      <c r="D188" s="180"/>
      <c r="E188" s="180"/>
      <c r="F188" s="180"/>
      <c r="G188" s="180"/>
      <c r="H188" s="180"/>
      <c r="I188" s="180"/>
      <c r="J188" s="180"/>
      <c r="K188" s="180"/>
      <c r="L188" s="180"/>
      <c r="M188" s="180"/>
      <c r="N188" s="180"/>
      <c r="O188" s="180"/>
      <c r="P188" s="180"/>
      <c r="Q188" s="180"/>
      <c r="R188" s="180"/>
      <c r="S188" s="180"/>
      <c r="T188" s="180"/>
      <c r="U188" s="180"/>
      <c r="V188" s="180"/>
      <c r="W188" s="180"/>
      <c r="X188" s="180"/>
    </row>
    <row r="189" ht="15.75" customHeight="1">
      <c r="A189" s="180"/>
      <c r="B189" s="180"/>
      <c r="C189" s="180"/>
      <c r="D189" s="180"/>
      <c r="E189" s="180"/>
      <c r="F189" s="180"/>
      <c r="G189" s="180"/>
      <c r="H189" s="180"/>
      <c r="I189" s="180"/>
      <c r="J189" s="180"/>
      <c r="K189" s="180"/>
      <c r="L189" s="180"/>
      <c r="M189" s="180"/>
      <c r="N189" s="180"/>
      <c r="O189" s="180"/>
      <c r="P189" s="180"/>
      <c r="Q189" s="180"/>
      <c r="R189" s="180"/>
      <c r="S189" s="180"/>
      <c r="T189" s="180"/>
      <c r="U189" s="180"/>
      <c r="V189" s="180"/>
      <c r="W189" s="180"/>
      <c r="X189" s="180"/>
    </row>
    <row r="190" ht="15.75" customHeight="1">
      <c r="A190" s="180"/>
      <c r="B190" s="180"/>
      <c r="C190" s="180"/>
      <c r="D190" s="180"/>
      <c r="E190" s="180"/>
      <c r="F190" s="180"/>
      <c r="G190" s="180"/>
      <c r="H190" s="180"/>
      <c r="I190" s="180"/>
      <c r="J190" s="180"/>
      <c r="K190" s="180"/>
      <c r="L190" s="180"/>
      <c r="M190" s="180"/>
      <c r="N190" s="180"/>
      <c r="O190" s="180"/>
      <c r="P190" s="180"/>
      <c r="Q190" s="180"/>
      <c r="R190" s="180"/>
      <c r="S190" s="180"/>
      <c r="T190" s="180"/>
      <c r="U190" s="180"/>
      <c r="V190" s="180"/>
      <c r="W190" s="180"/>
      <c r="X190" s="180"/>
    </row>
    <row r="191" ht="15.75" customHeight="1">
      <c r="A191" s="180"/>
      <c r="B191" s="180"/>
      <c r="C191" s="180"/>
      <c r="D191" s="180"/>
      <c r="E191" s="180"/>
      <c r="F191" s="180"/>
      <c r="G191" s="180"/>
      <c r="H191" s="180"/>
      <c r="I191" s="180"/>
      <c r="J191" s="180"/>
      <c r="K191" s="180"/>
      <c r="L191" s="180"/>
      <c r="M191" s="180"/>
      <c r="N191" s="180"/>
      <c r="O191" s="180"/>
      <c r="P191" s="180"/>
      <c r="Q191" s="180"/>
      <c r="R191" s="180"/>
      <c r="S191" s="180"/>
      <c r="T191" s="180"/>
      <c r="U191" s="180"/>
      <c r="V191" s="180"/>
      <c r="W191" s="180"/>
      <c r="X191" s="180"/>
    </row>
    <row r="192" ht="15.75" customHeight="1">
      <c r="A192" s="180"/>
      <c r="B192" s="180"/>
      <c r="C192" s="180"/>
      <c r="D192" s="180"/>
      <c r="E192" s="180"/>
      <c r="F192" s="180"/>
      <c r="G192" s="180"/>
      <c r="H192" s="180"/>
      <c r="I192" s="180"/>
      <c r="J192" s="180"/>
      <c r="K192" s="180"/>
      <c r="L192" s="180"/>
      <c r="M192" s="180"/>
      <c r="N192" s="180"/>
      <c r="O192" s="180"/>
      <c r="P192" s="180"/>
      <c r="Q192" s="180"/>
      <c r="R192" s="180"/>
      <c r="S192" s="180"/>
      <c r="T192" s="180"/>
      <c r="U192" s="180"/>
      <c r="V192" s="180"/>
      <c r="W192" s="180"/>
      <c r="X192" s="180"/>
    </row>
    <row r="193" ht="15.75" customHeight="1">
      <c r="A193" s="180"/>
      <c r="B193" s="180"/>
      <c r="C193" s="180"/>
      <c r="D193" s="180"/>
      <c r="E193" s="180"/>
      <c r="F193" s="180"/>
      <c r="G193" s="180"/>
      <c r="H193" s="180"/>
      <c r="I193" s="180"/>
      <c r="J193" s="180"/>
      <c r="K193" s="180"/>
      <c r="L193" s="180"/>
      <c r="M193" s="180"/>
      <c r="N193" s="180"/>
      <c r="O193" s="180"/>
      <c r="P193" s="180"/>
      <c r="Q193" s="180"/>
      <c r="R193" s="180"/>
      <c r="S193" s="180"/>
      <c r="T193" s="180"/>
      <c r="U193" s="180"/>
      <c r="V193" s="180"/>
      <c r="W193" s="180"/>
      <c r="X193" s="180"/>
    </row>
    <row r="194" ht="15.75" customHeight="1">
      <c r="A194" s="180"/>
      <c r="B194" s="180"/>
      <c r="C194" s="180"/>
      <c r="D194" s="180"/>
      <c r="E194" s="180"/>
      <c r="F194" s="180"/>
      <c r="G194" s="180"/>
      <c r="H194" s="180"/>
      <c r="I194" s="180"/>
      <c r="J194" s="180"/>
      <c r="K194" s="180"/>
      <c r="L194" s="180"/>
      <c r="M194" s="180"/>
      <c r="N194" s="180"/>
      <c r="O194" s="180"/>
      <c r="P194" s="180"/>
      <c r="Q194" s="180"/>
      <c r="R194" s="180"/>
      <c r="S194" s="180"/>
      <c r="T194" s="180"/>
      <c r="U194" s="180"/>
      <c r="V194" s="180"/>
      <c r="W194" s="180"/>
      <c r="X194" s="180"/>
    </row>
    <row r="195" ht="15.75" customHeight="1">
      <c r="A195" s="180"/>
      <c r="B195" s="180"/>
      <c r="C195" s="180"/>
      <c r="D195" s="180"/>
      <c r="E195" s="180"/>
      <c r="F195" s="180"/>
      <c r="G195" s="180"/>
      <c r="H195" s="180"/>
      <c r="I195" s="180"/>
      <c r="J195" s="180"/>
      <c r="K195" s="180"/>
      <c r="L195" s="180"/>
      <c r="M195" s="180"/>
      <c r="N195" s="180"/>
      <c r="O195" s="180"/>
      <c r="P195" s="180"/>
      <c r="Q195" s="180"/>
      <c r="R195" s="180"/>
      <c r="S195" s="180"/>
      <c r="T195" s="180"/>
      <c r="U195" s="180"/>
      <c r="V195" s="180"/>
      <c r="W195" s="180"/>
      <c r="X195" s="180"/>
    </row>
    <row r="196" ht="15.75" customHeight="1">
      <c r="A196" s="180"/>
      <c r="B196" s="180"/>
      <c r="C196" s="180"/>
      <c r="D196" s="180"/>
      <c r="E196" s="180"/>
      <c r="F196" s="180"/>
      <c r="G196" s="180"/>
      <c r="H196" s="180"/>
      <c r="I196" s="180"/>
      <c r="J196" s="180"/>
      <c r="K196" s="180"/>
      <c r="L196" s="180"/>
      <c r="M196" s="180"/>
      <c r="N196" s="180"/>
      <c r="O196" s="180"/>
      <c r="P196" s="180"/>
      <c r="Q196" s="180"/>
      <c r="R196" s="180"/>
      <c r="S196" s="180"/>
      <c r="T196" s="180"/>
      <c r="U196" s="180"/>
      <c r="V196" s="180"/>
      <c r="W196" s="180"/>
      <c r="X196" s="180"/>
    </row>
    <row r="197" ht="15.75" customHeight="1">
      <c r="A197" s="180"/>
      <c r="B197" s="180"/>
      <c r="C197" s="180"/>
      <c r="D197" s="180"/>
      <c r="E197" s="180"/>
      <c r="F197" s="180"/>
      <c r="G197" s="180"/>
      <c r="H197" s="180"/>
      <c r="I197" s="180"/>
      <c r="J197" s="180"/>
      <c r="K197" s="180"/>
      <c r="L197" s="180"/>
      <c r="M197" s="180"/>
      <c r="N197" s="180"/>
      <c r="O197" s="180"/>
      <c r="P197" s="180"/>
      <c r="Q197" s="180"/>
      <c r="R197" s="180"/>
      <c r="S197" s="180"/>
      <c r="T197" s="180"/>
      <c r="U197" s="180"/>
      <c r="V197" s="180"/>
      <c r="W197" s="180"/>
      <c r="X197" s="180"/>
    </row>
    <row r="198" ht="15.75" customHeight="1">
      <c r="A198" s="180"/>
      <c r="B198" s="180"/>
      <c r="C198" s="180"/>
      <c r="D198" s="180"/>
      <c r="E198" s="180"/>
      <c r="F198" s="180"/>
      <c r="G198" s="180"/>
      <c r="H198" s="180"/>
      <c r="I198" s="180"/>
      <c r="J198" s="180"/>
      <c r="K198" s="180"/>
      <c r="L198" s="180"/>
      <c r="M198" s="180"/>
      <c r="N198" s="180"/>
      <c r="O198" s="180"/>
      <c r="P198" s="180"/>
      <c r="Q198" s="180"/>
      <c r="R198" s="180"/>
      <c r="S198" s="180"/>
      <c r="T198" s="180"/>
      <c r="U198" s="180"/>
      <c r="V198" s="180"/>
      <c r="W198" s="180"/>
      <c r="X198" s="180"/>
    </row>
    <row r="199" ht="15.75" customHeight="1">
      <c r="A199" s="180"/>
      <c r="B199" s="180"/>
      <c r="C199" s="180"/>
      <c r="D199" s="180"/>
      <c r="E199" s="180"/>
      <c r="F199" s="180"/>
      <c r="G199" s="180"/>
      <c r="H199" s="180"/>
      <c r="I199" s="180"/>
      <c r="J199" s="180"/>
      <c r="K199" s="180"/>
      <c r="L199" s="180"/>
      <c r="M199" s="180"/>
      <c r="N199" s="180"/>
      <c r="O199" s="180"/>
      <c r="P199" s="180"/>
      <c r="Q199" s="180"/>
      <c r="R199" s="180"/>
      <c r="S199" s="180"/>
      <c r="T199" s="180"/>
      <c r="U199" s="180"/>
      <c r="V199" s="180"/>
      <c r="W199" s="180"/>
      <c r="X199" s="180"/>
    </row>
    <row r="200" ht="15.75" customHeight="1">
      <c r="A200" s="180"/>
      <c r="B200" s="180"/>
      <c r="C200" s="180"/>
      <c r="D200" s="180"/>
      <c r="E200" s="180"/>
      <c r="F200" s="180"/>
      <c r="G200" s="180"/>
      <c r="H200" s="180"/>
      <c r="I200" s="180"/>
      <c r="J200" s="180"/>
      <c r="K200" s="180"/>
      <c r="L200" s="180"/>
      <c r="M200" s="180"/>
      <c r="N200" s="180"/>
      <c r="O200" s="180"/>
      <c r="P200" s="180"/>
      <c r="Q200" s="180"/>
      <c r="R200" s="180"/>
      <c r="S200" s="180"/>
      <c r="T200" s="180"/>
      <c r="U200" s="180"/>
      <c r="V200" s="180"/>
      <c r="W200" s="180"/>
      <c r="X200" s="180"/>
    </row>
    <row r="201" ht="15.75" customHeight="1">
      <c r="A201" s="180"/>
      <c r="B201" s="180"/>
      <c r="C201" s="180"/>
      <c r="D201" s="180"/>
      <c r="E201" s="180"/>
      <c r="F201" s="180"/>
      <c r="G201" s="180"/>
      <c r="H201" s="180"/>
      <c r="I201" s="180"/>
      <c r="J201" s="180"/>
      <c r="K201" s="180"/>
      <c r="L201" s="180"/>
      <c r="M201" s="180"/>
      <c r="N201" s="180"/>
      <c r="O201" s="180"/>
      <c r="P201" s="180"/>
      <c r="Q201" s="180"/>
      <c r="R201" s="180"/>
      <c r="S201" s="180"/>
      <c r="T201" s="180"/>
      <c r="U201" s="180"/>
      <c r="V201" s="180"/>
      <c r="W201" s="180"/>
      <c r="X201" s="180"/>
    </row>
    <row r="202" ht="15.75" customHeight="1">
      <c r="A202" s="180"/>
      <c r="B202" s="180"/>
      <c r="C202" s="180"/>
      <c r="D202" s="180"/>
      <c r="E202" s="180"/>
      <c r="F202" s="180"/>
      <c r="G202" s="180"/>
      <c r="H202" s="180"/>
      <c r="I202" s="180"/>
      <c r="J202" s="180"/>
      <c r="K202" s="180"/>
      <c r="L202" s="180"/>
      <c r="M202" s="180"/>
      <c r="N202" s="180"/>
      <c r="O202" s="180"/>
      <c r="P202" s="180"/>
      <c r="Q202" s="180"/>
      <c r="R202" s="180"/>
      <c r="S202" s="180"/>
      <c r="T202" s="180"/>
      <c r="U202" s="180"/>
      <c r="V202" s="180"/>
      <c r="W202" s="180"/>
      <c r="X202" s="180"/>
    </row>
    <row r="203" ht="15.75" customHeight="1">
      <c r="A203" s="180"/>
      <c r="B203" s="180"/>
      <c r="C203" s="180"/>
      <c r="D203" s="180"/>
      <c r="E203" s="180"/>
      <c r="F203" s="180"/>
      <c r="G203" s="180"/>
      <c r="H203" s="180"/>
      <c r="I203" s="180"/>
      <c r="J203" s="180"/>
      <c r="K203" s="180"/>
      <c r="L203" s="180"/>
      <c r="M203" s="180"/>
      <c r="N203" s="180"/>
      <c r="O203" s="180"/>
      <c r="P203" s="180"/>
      <c r="Q203" s="180"/>
      <c r="R203" s="180"/>
      <c r="S203" s="180"/>
      <c r="T203" s="180"/>
      <c r="U203" s="180"/>
      <c r="V203" s="180"/>
      <c r="W203" s="180"/>
      <c r="X203" s="180"/>
    </row>
    <row r="204" ht="15.75" customHeight="1">
      <c r="A204" s="180"/>
      <c r="B204" s="180"/>
      <c r="C204" s="180"/>
      <c r="D204" s="180"/>
      <c r="E204" s="180"/>
      <c r="F204" s="180"/>
      <c r="G204" s="180"/>
      <c r="H204" s="180"/>
      <c r="I204" s="180"/>
      <c r="J204" s="180"/>
      <c r="K204" s="180"/>
      <c r="L204" s="180"/>
      <c r="M204" s="180"/>
      <c r="N204" s="180"/>
      <c r="O204" s="180"/>
      <c r="P204" s="180"/>
      <c r="Q204" s="180"/>
      <c r="R204" s="180"/>
      <c r="S204" s="180"/>
      <c r="T204" s="180"/>
      <c r="U204" s="180"/>
      <c r="V204" s="180"/>
      <c r="W204" s="180"/>
      <c r="X204" s="180"/>
    </row>
    <row r="205" ht="15.75" customHeight="1">
      <c r="A205" s="180"/>
      <c r="B205" s="180"/>
      <c r="C205" s="180"/>
      <c r="D205" s="180"/>
      <c r="E205" s="180"/>
      <c r="F205" s="180"/>
      <c r="G205" s="180"/>
      <c r="H205" s="180"/>
      <c r="I205" s="180"/>
      <c r="J205" s="180"/>
      <c r="K205" s="180"/>
      <c r="L205" s="180"/>
      <c r="M205" s="180"/>
      <c r="N205" s="180"/>
      <c r="O205" s="180"/>
      <c r="P205" s="180"/>
      <c r="Q205" s="180"/>
      <c r="R205" s="180"/>
      <c r="S205" s="180"/>
      <c r="T205" s="180"/>
      <c r="U205" s="180"/>
      <c r="V205" s="180"/>
      <c r="W205" s="180"/>
      <c r="X205" s="180"/>
    </row>
    <row r="206" ht="15.75" customHeight="1">
      <c r="A206" s="180"/>
      <c r="B206" s="180"/>
      <c r="C206" s="180"/>
      <c r="D206" s="180"/>
      <c r="E206" s="180"/>
      <c r="F206" s="180"/>
      <c r="G206" s="180"/>
      <c r="H206" s="180"/>
      <c r="I206" s="180"/>
      <c r="J206" s="180"/>
      <c r="K206" s="180"/>
      <c r="L206" s="180"/>
      <c r="M206" s="180"/>
      <c r="N206" s="180"/>
      <c r="O206" s="180"/>
      <c r="P206" s="180"/>
      <c r="Q206" s="180"/>
      <c r="R206" s="180"/>
      <c r="S206" s="180"/>
      <c r="T206" s="180"/>
      <c r="U206" s="180"/>
      <c r="V206" s="180"/>
      <c r="W206" s="180"/>
      <c r="X206" s="180"/>
    </row>
    <row r="207" ht="15.75" customHeight="1">
      <c r="A207" s="180"/>
      <c r="B207" s="180"/>
      <c r="C207" s="180"/>
      <c r="D207" s="180"/>
      <c r="E207" s="180"/>
      <c r="F207" s="180"/>
      <c r="G207" s="180"/>
      <c r="H207" s="180"/>
      <c r="I207" s="180"/>
      <c r="J207" s="180"/>
      <c r="K207" s="180"/>
      <c r="L207" s="180"/>
      <c r="M207" s="180"/>
      <c r="N207" s="180"/>
      <c r="O207" s="180"/>
      <c r="P207" s="180"/>
      <c r="Q207" s="180"/>
      <c r="R207" s="180"/>
      <c r="S207" s="180"/>
      <c r="T207" s="180"/>
      <c r="U207" s="180"/>
      <c r="V207" s="180"/>
      <c r="W207" s="180"/>
      <c r="X207" s="180"/>
    </row>
    <row r="208" ht="15.75" customHeight="1">
      <c r="A208" s="180"/>
      <c r="B208" s="180"/>
      <c r="C208" s="180"/>
      <c r="D208" s="180"/>
      <c r="E208" s="180"/>
      <c r="F208" s="180"/>
      <c r="G208" s="180"/>
      <c r="H208" s="180"/>
      <c r="I208" s="180"/>
      <c r="J208" s="180"/>
      <c r="K208" s="180"/>
      <c r="L208" s="180"/>
      <c r="M208" s="180"/>
      <c r="N208" s="180"/>
      <c r="O208" s="180"/>
      <c r="P208" s="180"/>
      <c r="Q208" s="180"/>
      <c r="R208" s="180"/>
      <c r="S208" s="180"/>
      <c r="T208" s="180"/>
      <c r="U208" s="180"/>
      <c r="V208" s="180"/>
      <c r="W208" s="180"/>
      <c r="X208" s="180"/>
    </row>
    <row r="209" ht="15.75" customHeight="1">
      <c r="A209" s="180"/>
      <c r="B209" s="180"/>
      <c r="C209" s="180"/>
      <c r="D209" s="180"/>
      <c r="E209" s="180"/>
      <c r="F209" s="180"/>
      <c r="G209" s="180"/>
      <c r="H209" s="180"/>
      <c r="I209" s="180"/>
      <c r="J209" s="180"/>
      <c r="K209" s="180"/>
      <c r="L209" s="180"/>
      <c r="M209" s="180"/>
      <c r="N209" s="180"/>
      <c r="O209" s="180"/>
      <c r="P209" s="180"/>
      <c r="Q209" s="180"/>
      <c r="R209" s="180"/>
      <c r="S209" s="180"/>
      <c r="T209" s="180"/>
      <c r="U209" s="180"/>
      <c r="V209" s="180"/>
      <c r="W209" s="180"/>
      <c r="X209" s="180"/>
    </row>
    <row r="210" ht="15.75" customHeight="1">
      <c r="A210" s="180"/>
      <c r="B210" s="180"/>
      <c r="C210" s="180"/>
      <c r="D210" s="180"/>
      <c r="E210" s="180"/>
      <c r="F210" s="180"/>
      <c r="G210" s="180"/>
      <c r="H210" s="180"/>
      <c r="I210" s="180"/>
      <c r="J210" s="180"/>
      <c r="K210" s="180"/>
      <c r="L210" s="180"/>
      <c r="M210" s="180"/>
      <c r="N210" s="180"/>
      <c r="O210" s="180"/>
      <c r="P210" s="180"/>
      <c r="Q210" s="180"/>
      <c r="R210" s="180"/>
      <c r="S210" s="180"/>
      <c r="T210" s="180"/>
      <c r="U210" s="180"/>
      <c r="V210" s="180"/>
      <c r="W210" s="180"/>
      <c r="X210" s="180"/>
    </row>
    <row r="211" ht="15.75" customHeight="1">
      <c r="A211" s="180"/>
      <c r="B211" s="180"/>
      <c r="C211" s="180"/>
      <c r="D211" s="180"/>
      <c r="E211" s="180"/>
      <c r="F211" s="180"/>
      <c r="G211" s="180"/>
      <c r="H211" s="180"/>
      <c r="I211" s="180"/>
      <c r="J211" s="180"/>
      <c r="K211" s="180"/>
      <c r="L211" s="180"/>
      <c r="M211" s="180"/>
      <c r="N211" s="180"/>
      <c r="O211" s="180"/>
      <c r="P211" s="180"/>
      <c r="Q211" s="180"/>
      <c r="R211" s="180"/>
      <c r="S211" s="180"/>
      <c r="T211" s="180"/>
      <c r="U211" s="180"/>
      <c r="V211" s="180"/>
      <c r="W211" s="180"/>
      <c r="X211" s="180"/>
    </row>
    <row r="212" ht="15.75" customHeight="1">
      <c r="A212" s="180"/>
      <c r="B212" s="180"/>
      <c r="C212" s="180"/>
      <c r="D212" s="180"/>
      <c r="E212" s="180"/>
      <c r="F212" s="180"/>
      <c r="G212" s="180"/>
      <c r="H212" s="180"/>
      <c r="I212" s="180"/>
      <c r="J212" s="180"/>
      <c r="K212" s="180"/>
      <c r="L212" s="180"/>
      <c r="M212" s="180"/>
      <c r="N212" s="180"/>
      <c r="O212" s="180"/>
      <c r="P212" s="180"/>
      <c r="Q212" s="180"/>
      <c r="R212" s="180"/>
      <c r="S212" s="180"/>
      <c r="T212" s="180"/>
      <c r="U212" s="180"/>
      <c r="V212" s="180"/>
      <c r="W212" s="180"/>
      <c r="X212" s="180"/>
    </row>
    <row r="213" ht="15.75" customHeight="1">
      <c r="A213" s="180"/>
      <c r="B213" s="180"/>
      <c r="C213" s="180"/>
      <c r="D213" s="180"/>
      <c r="E213" s="180"/>
      <c r="F213" s="180"/>
      <c r="G213" s="180"/>
      <c r="H213" s="180"/>
      <c r="I213" s="180"/>
      <c r="J213" s="180"/>
      <c r="K213" s="180"/>
      <c r="L213" s="180"/>
      <c r="M213" s="180"/>
      <c r="N213" s="180"/>
      <c r="O213" s="180"/>
      <c r="P213" s="180"/>
      <c r="Q213" s="180"/>
      <c r="R213" s="180"/>
      <c r="S213" s="180"/>
      <c r="T213" s="180"/>
      <c r="U213" s="180"/>
      <c r="V213" s="180"/>
      <c r="W213" s="180"/>
      <c r="X213" s="180"/>
    </row>
    <row r="214" ht="15.75" customHeight="1">
      <c r="A214" s="180"/>
      <c r="B214" s="180"/>
      <c r="C214" s="180"/>
      <c r="D214" s="180"/>
      <c r="E214" s="180"/>
      <c r="F214" s="180"/>
      <c r="G214" s="180"/>
      <c r="H214" s="180"/>
      <c r="I214" s="180"/>
      <c r="J214" s="180"/>
      <c r="K214" s="180"/>
      <c r="L214" s="180"/>
      <c r="M214" s="180"/>
      <c r="N214" s="180"/>
      <c r="O214" s="180"/>
      <c r="P214" s="180"/>
      <c r="Q214" s="180"/>
      <c r="R214" s="180"/>
      <c r="S214" s="180"/>
      <c r="T214" s="180"/>
      <c r="U214" s="180"/>
      <c r="V214" s="180"/>
      <c r="W214" s="180"/>
      <c r="X214" s="180"/>
    </row>
    <row r="215" ht="15.75" customHeight="1">
      <c r="A215" s="180"/>
      <c r="B215" s="180"/>
      <c r="C215" s="180"/>
      <c r="D215" s="180"/>
      <c r="E215" s="180"/>
      <c r="F215" s="180"/>
      <c r="G215" s="180"/>
      <c r="H215" s="180"/>
      <c r="I215" s="180"/>
      <c r="J215" s="180"/>
      <c r="K215" s="180"/>
      <c r="L215" s="180"/>
      <c r="M215" s="180"/>
      <c r="N215" s="180"/>
      <c r="O215" s="180"/>
      <c r="P215" s="180"/>
      <c r="Q215" s="180"/>
      <c r="R215" s="180"/>
      <c r="S215" s="180"/>
      <c r="T215" s="180"/>
      <c r="U215" s="180"/>
      <c r="V215" s="180"/>
      <c r="W215" s="180"/>
      <c r="X215" s="180"/>
    </row>
    <row r="216" ht="15.75" customHeight="1">
      <c r="A216" s="180"/>
      <c r="B216" s="180"/>
      <c r="C216" s="180"/>
      <c r="D216" s="180"/>
      <c r="E216" s="180"/>
      <c r="F216" s="180"/>
      <c r="G216" s="180"/>
      <c r="H216" s="180"/>
      <c r="I216" s="180"/>
      <c r="J216" s="180"/>
      <c r="K216" s="180"/>
      <c r="L216" s="180"/>
      <c r="M216" s="180"/>
      <c r="N216" s="180"/>
      <c r="O216" s="180"/>
      <c r="P216" s="180"/>
      <c r="Q216" s="180"/>
      <c r="R216" s="180"/>
      <c r="S216" s="180"/>
      <c r="T216" s="180"/>
      <c r="U216" s="180"/>
      <c r="V216" s="180"/>
      <c r="W216" s="180"/>
      <c r="X216" s="180"/>
    </row>
    <row r="217" ht="15.75" customHeight="1">
      <c r="A217" s="180"/>
      <c r="B217" s="180"/>
      <c r="C217" s="180"/>
      <c r="D217" s="180"/>
      <c r="E217" s="180"/>
      <c r="F217" s="180"/>
      <c r="G217" s="180"/>
      <c r="H217" s="180"/>
      <c r="I217" s="180"/>
      <c r="J217" s="180"/>
      <c r="K217" s="180"/>
      <c r="L217" s="180"/>
      <c r="M217" s="180"/>
      <c r="N217" s="180"/>
      <c r="O217" s="180"/>
      <c r="P217" s="180"/>
      <c r="Q217" s="180"/>
      <c r="R217" s="180"/>
      <c r="S217" s="180"/>
      <c r="T217" s="180"/>
      <c r="U217" s="180"/>
      <c r="V217" s="180"/>
      <c r="W217" s="180"/>
      <c r="X217" s="180"/>
    </row>
    <row r="218" ht="15.75" customHeight="1">
      <c r="A218" s="180"/>
      <c r="B218" s="180"/>
      <c r="C218" s="180"/>
      <c r="D218" s="180"/>
      <c r="E218" s="180"/>
      <c r="F218" s="180"/>
      <c r="G218" s="180"/>
      <c r="H218" s="180"/>
      <c r="I218" s="180"/>
      <c r="J218" s="180"/>
      <c r="K218" s="180"/>
      <c r="L218" s="180"/>
      <c r="M218" s="180"/>
      <c r="N218" s="180"/>
      <c r="O218" s="180"/>
      <c r="P218" s="180"/>
      <c r="Q218" s="180"/>
      <c r="R218" s="180"/>
      <c r="S218" s="180"/>
      <c r="T218" s="180"/>
      <c r="U218" s="180"/>
      <c r="V218" s="180"/>
      <c r="W218" s="180"/>
      <c r="X218" s="180"/>
    </row>
    <row r="219" ht="15.75" customHeight="1">
      <c r="A219" s="180"/>
      <c r="B219" s="180"/>
      <c r="C219" s="180"/>
      <c r="D219" s="180"/>
      <c r="E219" s="180"/>
      <c r="F219" s="180"/>
      <c r="G219" s="180"/>
      <c r="H219" s="180"/>
      <c r="I219" s="180"/>
      <c r="J219" s="180"/>
      <c r="K219" s="180"/>
      <c r="L219" s="180"/>
      <c r="M219" s="180"/>
      <c r="N219" s="180"/>
      <c r="O219" s="180"/>
      <c r="P219" s="180"/>
      <c r="Q219" s="180"/>
      <c r="R219" s="180"/>
      <c r="S219" s="180"/>
      <c r="T219" s="180"/>
      <c r="U219" s="180"/>
      <c r="V219" s="180"/>
      <c r="W219" s="180"/>
      <c r="X219" s="180"/>
    </row>
    <row r="220" ht="15.75" customHeight="1">
      <c r="A220" s="180"/>
      <c r="B220" s="180"/>
      <c r="C220" s="180"/>
      <c r="D220" s="180"/>
      <c r="E220" s="180"/>
      <c r="F220" s="180"/>
      <c r="G220" s="180"/>
      <c r="H220" s="180"/>
      <c r="I220" s="180"/>
      <c r="J220" s="180"/>
      <c r="K220" s="180"/>
      <c r="L220" s="180"/>
      <c r="M220" s="180"/>
      <c r="N220" s="180"/>
      <c r="O220" s="180"/>
      <c r="P220" s="180"/>
      <c r="Q220" s="180"/>
      <c r="R220" s="180"/>
      <c r="S220" s="180"/>
      <c r="T220" s="180"/>
      <c r="U220" s="180"/>
      <c r="V220" s="180"/>
      <c r="W220" s="180"/>
      <c r="X220" s="180"/>
    </row>
    <row r="221" ht="15.75" customHeight="1">
      <c r="A221" s="180"/>
      <c r="B221" s="180"/>
      <c r="C221" s="180"/>
      <c r="D221" s="180"/>
      <c r="E221" s="180"/>
      <c r="F221" s="180"/>
      <c r="G221" s="180"/>
      <c r="H221" s="180"/>
      <c r="I221" s="180"/>
      <c r="J221" s="180"/>
      <c r="K221" s="180"/>
      <c r="L221" s="180"/>
      <c r="M221" s="180"/>
      <c r="N221" s="180"/>
      <c r="O221" s="180"/>
      <c r="P221" s="180"/>
      <c r="Q221" s="180"/>
      <c r="R221" s="180"/>
      <c r="S221" s="180"/>
      <c r="T221" s="180"/>
      <c r="U221" s="180"/>
      <c r="V221" s="180"/>
      <c r="W221" s="180"/>
      <c r="X221" s="180"/>
    </row>
    <row r="222" ht="15.75" customHeight="1">
      <c r="A222" s="180"/>
      <c r="B222" s="180"/>
      <c r="C222" s="180"/>
      <c r="D222" s="180"/>
      <c r="E222" s="180"/>
      <c r="F222" s="180"/>
      <c r="G222" s="180"/>
      <c r="H222" s="180"/>
      <c r="I222" s="180"/>
      <c r="J222" s="180"/>
      <c r="K222" s="180"/>
      <c r="L222" s="180"/>
      <c r="M222" s="180"/>
      <c r="N222" s="180"/>
      <c r="O222" s="180"/>
      <c r="P222" s="180"/>
      <c r="Q222" s="180"/>
      <c r="R222" s="180"/>
      <c r="S222" s="180"/>
      <c r="T222" s="180"/>
      <c r="U222" s="180"/>
      <c r="V222" s="180"/>
      <c r="W222" s="180"/>
      <c r="X222" s="180"/>
    </row>
    <row r="223" ht="15.75" customHeight="1">
      <c r="A223" s="180"/>
      <c r="B223" s="180"/>
      <c r="C223" s="180"/>
      <c r="D223" s="180"/>
      <c r="E223" s="180"/>
      <c r="F223" s="180"/>
      <c r="G223" s="180"/>
      <c r="H223" s="180"/>
      <c r="I223" s="180"/>
      <c r="J223" s="180"/>
      <c r="K223" s="180"/>
      <c r="L223" s="180"/>
      <c r="M223" s="180"/>
      <c r="N223" s="180"/>
      <c r="O223" s="180"/>
      <c r="P223" s="180"/>
      <c r="Q223" s="180"/>
      <c r="R223" s="180"/>
      <c r="S223" s="180"/>
      <c r="T223" s="180"/>
      <c r="U223" s="180"/>
      <c r="V223" s="180"/>
      <c r="W223" s="180"/>
      <c r="X223" s="180"/>
    </row>
    <row r="224" ht="15.75" customHeight="1">
      <c r="A224" s="180"/>
      <c r="B224" s="180"/>
      <c r="C224" s="180"/>
      <c r="D224" s="180"/>
      <c r="E224" s="180"/>
      <c r="F224" s="180"/>
      <c r="G224" s="180"/>
      <c r="H224" s="180"/>
      <c r="I224" s="180"/>
      <c r="J224" s="180"/>
      <c r="K224" s="180"/>
      <c r="L224" s="180"/>
      <c r="M224" s="180"/>
      <c r="N224" s="180"/>
      <c r="O224" s="180"/>
      <c r="P224" s="180"/>
      <c r="Q224" s="180"/>
      <c r="R224" s="180"/>
      <c r="S224" s="180"/>
      <c r="T224" s="180"/>
      <c r="U224" s="180"/>
      <c r="V224" s="180"/>
      <c r="W224" s="180"/>
      <c r="X224" s="180"/>
    </row>
    <row r="225" ht="15.75" customHeight="1">
      <c r="A225" s="180"/>
      <c r="B225" s="180"/>
      <c r="C225" s="180"/>
      <c r="D225" s="180"/>
      <c r="E225" s="180"/>
      <c r="F225" s="180"/>
      <c r="G225" s="180"/>
      <c r="H225" s="180"/>
      <c r="I225" s="180"/>
      <c r="J225" s="180"/>
      <c r="K225" s="180"/>
      <c r="L225" s="180"/>
      <c r="M225" s="180"/>
      <c r="N225" s="180"/>
      <c r="O225" s="180"/>
      <c r="P225" s="180"/>
      <c r="Q225" s="180"/>
      <c r="R225" s="180"/>
      <c r="S225" s="180"/>
      <c r="T225" s="180"/>
      <c r="U225" s="180"/>
      <c r="V225" s="180"/>
      <c r="W225" s="180"/>
      <c r="X225" s="180"/>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conditionalFormatting sqref="J2:J3 J7:J11">
    <cfRule type="cellIs" dxfId="4" priority="1" operator="greaterThan">
      <formula>0</formula>
    </cfRule>
  </conditionalFormatting>
  <conditionalFormatting sqref="J2:J3 J7:J11">
    <cfRule type="cellIs" dxfId="5" priority="2" operator="lessThan">
      <formula>0</formula>
    </cfRule>
  </conditionalFormatting>
  <conditionalFormatting sqref="J2:J3 J7:J11">
    <cfRule type="cellIs" dxfId="6" priority="3" operator="greaterThan">
      <formula>0</formula>
    </cfRule>
  </conditionalFormatting>
  <conditionalFormatting sqref="J2:J3 J7:J11">
    <cfRule type="cellIs" dxfId="5" priority="4" operator="lessThan">
      <formula>0</formula>
    </cfRule>
  </conditionalFormatting>
  <conditionalFormatting sqref="I2:I3 I7:I11">
    <cfRule type="cellIs" dxfId="7" priority="5" operator="greaterThan">
      <formula>0</formula>
    </cfRule>
  </conditionalFormatting>
  <conditionalFormatting sqref="I2:I3 I7:I11">
    <cfRule type="cellIs" dxfId="8" priority="6" operator="lessThan">
      <formula>0</formula>
    </cfRule>
  </conditionalFormatting>
  <hyperlinks>
    <hyperlink r:id="rId1" ref="A17"/>
    <hyperlink r:id="rId2" ref="B18"/>
    <hyperlink r:id="rId3" ref="B19"/>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25"/>
    <col customWidth="1" min="2" max="2" width="10.38"/>
    <col customWidth="1" min="3" max="3" width="11.75"/>
    <col customWidth="1" min="4" max="4" width="13.5"/>
    <col customWidth="1" min="5" max="5" width="11.88"/>
    <col customWidth="1" min="6" max="6" width="12.63"/>
    <col customWidth="1" min="7" max="7" width="11.63"/>
    <col customWidth="1" min="8" max="8" width="19.0"/>
    <col customWidth="1" min="9" max="9" width="16.25"/>
    <col customWidth="1" min="10" max="10" width="26.5"/>
    <col customWidth="1" min="11" max="11" width="153.75"/>
  </cols>
  <sheetData>
    <row r="1" ht="15.75" customHeight="1">
      <c r="A1" s="25"/>
      <c r="B1" s="25"/>
      <c r="C1" s="25"/>
      <c r="D1" s="25"/>
      <c r="E1" s="25"/>
      <c r="F1" s="25"/>
      <c r="G1" s="25"/>
      <c r="H1" s="25"/>
      <c r="I1" s="231" t="s">
        <v>296</v>
      </c>
      <c r="J1" s="232"/>
      <c r="K1" s="25"/>
      <c r="L1" s="25"/>
      <c r="M1" s="25"/>
      <c r="N1" s="25"/>
      <c r="O1" s="25"/>
      <c r="P1" s="25"/>
      <c r="Q1" s="25"/>
      <c r="R1" s="25"/>
      <c r="S1" s="25"/>
      <c r="T1" s="25"/>
      <c r="U1" s="25"/>
      <c r="V1" s="25"/>
      <c r="W1" s="25"/>
      <c r="X1" s="25"/>
      <c r="Y1" s="25"/>
      <c r="Z1" s="25"/>
      <c r="AA1" s="25"/>
      <c r="AB1" s="25"/>
      <c r="AC1" s="25"/>
      <c r="AD1" s="25"/>
    </row>
    <row r="2" ht="15.75" customHeight="1">
      <c r="A2" s="52" t="s">
        <v>297</v>
      </c>
      <c r="B2" s="25" t="s">
        <v>260</v>
      </c>
      <c r="C2" s="25" t="s">
        <v>298</v>
      </c>
      <c r="D2" s="25" t="s">
        <v>299</v>
      </c>
      <c r="E2" s="25" t="s">
        <v>300</v>
      </c>
      <c r="F2" s="25" t="s">
        <v>274</v>
      </c>
      <c r="G2" s="25" t="s">
        <v>301</v>
      </c>
      <c r="H2" s="25" t="s">
        <v>302</v>
      </c>
      <c r="I2" s="52" t="s">
        <v>303</v>
      </c>
      <c r="J2" s="25" t="s">
        <v>304</v>
      </c>
      <c r="K2" s="25" t="s">
        <v>192</v>
      </c>
      <c r="L2" s="25"/>
      <c r="M2" s="25"/>
      <c r="N2" s="25"/>
      <c r="O2" s="25"/>
      <c r="P2" s="25"/>
      <c r="Q2" s="25"/>
      <c r="R2" s="25"/>
      <c r="S2" s="25"/>
      <c r="T2" s="25"/>
      <c r="U2" s="25"/>
      <c r="V2" s="25"/>
      <c r="W2" s="25"/>
      <c r="X2" s="25"/>
      <c r="Y2" s="25"/>
      <c r="Z2" s="25"/>
      <c r="AA2" s="25"/>
      <c r="AB2" s="25"/>
      <c r="AC2" s="25"/>
      <c r="AD2" s="25"/>
    </row>
    <row r="3" ht="15.75" customHeight="1">
      <c r="A3" s="4" t="s">
        <v>305</v>
      </c>
      <c r="B3" s="4" t="s">
        <v>306</v>
      </c>
      <c r="C3" s="233">
        <v>1.0</v>
      </c>
      <c r="D3" s="234">
        <v>0.0</v>
      </c>
      <c r="E3" s="234">
        <v>3500.0</v>
      </c>
      <c r="F3" s="235">
        <v>75000.0</v>
      </c>
      <c r="G3" s="235">
        <v>0.0</v>
      </c>
      <c r="H3" s="235">
        <f t="shared" ref="H3:H6" si="1">F3-G3-E3</f>
        <v>71500</v>
      </c>
      <c r="I3" s="236"/>
      <c r="J3" s="4" t="s">
        <v>307</v>
      </c>
      <c r="K3" s="237"/>
    </row>
    <row r="4" ht="15.75" customHeight="1">
      <c r="A4" s="4" t="s">
        <v>308</v>
      </c>
      <c r="B4" s="4" t="s">
        <v>306</v>
      </c>
      <c r="C4" s="233">
        <v>1.0</v>
      </c>
      <c r="D4" s="234">
        <v>0.0</v>
      </c>
      <c r="E4" s="234">
        <v>72500.0</v>
      </c>
      <c r="F4" s="235">
        <v>350000.0</v>
      </c>
      <c r="G4" s="235">
        <v>0.0</v>
      </c>
      <c r="H4" s="235">
        <f t="shared" si="1"/>
        <v>277500</v>
      </c>
      <c r="I4" s="238">
        <v>4000.0</v>
      </c>
      <c r="J4" s="4" t="s">
        <v>309</v>
      </c>
      <c r="K4" s="237"/>
    </row>
    <row r="5" ht="15.75" customHeight="1">
      <c r="A5" s="4" t="s">
        <v>310</v>
      </c>
      <c r="B5" s="4" t="s">
        <v>306</v>
      </c>
      <c r="C5" s="233">
        <v>1.0</v>
      </c>
      <c r="D5" s="234">
        <v>0.0</v>
      </c>
      <c r="E5" s="234">
        <v>0.0</v>
      </c>
      <c r="F5" s="234">
        <v>0.0</v>
      </c>
      <c r="G5" s="235">
        <v>0.0</v>
      </c>
      <c r="H5" s="234">
        <f t="shared" si="1"/>
        <v>0</v>
      </c>
      <c r="I5" s="238">
        <v>4000.0</v>
      </c>
      <c r="J5" s="4" t="s">
        <v>311</v>
      </c>
      <c r="K5" s="239"/>
    </row>
    <row r="6" ht="15.75" customHeight="1">
      <c r="A6" s="25" t="s">
        <v>312</v>
      </c>
      <c r="B6" s="25"/>
      <c r="C6" s="240">
        <f>AVERAGE(C3:C5)</f>
        <v>1</v>
      </c>
      <c r="D6" s="241">
        <v>0.0</v>
      </c>
      <c r="E6" s="241">
        <f t="shared" ref="E6:G6" si="2">SUM(E3:E5)</f>
        <v>76000</v>
      </c>
      <c r="F6" s="241">
        <f t="shared" si="2"/>
        <v>425000</v>
      </c>
      <c r="G6" s="241">
        <f t="shared" si="2"/>
        <v>0</v>
      </c>
      <c r="H6" s="241">
        <f t="shared" si="1"/>
        <v>349000</v>
      </c>
      <c r="I6" s="242">
        <f>SUM(I3:I5)</f>
        <v>8000</v>
      </c>
      <c r="K6" s="243"/>
    </row>
    <row r="7" ht="15.75" customHeight="1">
      <c r="C7" s="244"/>
    </row>
    <row r="8" ht="15.75" customHeight="1">
      <c r="A8" s="25" t="s">
        <v>313</v>
      </c>
      <c r="C8" s="244"/>
    </row>
    <row r="9" ht="15.75" customHeight="1">
      <c r="A9" s="3" t="s">
        <v>314</v>
      </c>
      <c r="B9" s="3" t="s">
        <v>315</v>
      </c>
      <c r="C9" s="245" t="s">
        <v>316</v>
      </c>
      <c r="D9" s="246">
        <v>980000.0</v>
      </c>
      <c r="E9" s="246">
        <v>270000.0</v>
      </c>
      <c r="F9" s="247">
        <v>1500000.0</v>
      </c>
      <c r="G9" s="248">
        <v>734000.0</v>
      </c>
      <c r="H9" s="235">
        <f t="shared" ref="H9:H10" si="3">F9-G9</f>
        <v>766000</v>
      </c>
      <c r="I9" s="247"/>
      <c r="J9" s="249"/>
      <c r="K9" s="239"/>
    </row>
    <row r="10" ht="15.75" customHeight="1">
      <c r="A10" s="4" t="s">
        <v>317</v>
      </c>
      <c r="B10" s="4" t="s">
        <v>318</v>
      </c>
      <c r="C10" s="233">
        <v>1.0</v>
      </c>
      <c r="D10" s="234">
        <v>85000.0</v>
      </c>
      <c r="E10" s="234">
        <v>15000.0</v>
      </c>
      <c r="F10" s="247">
        <v>220000.0</v>
      </c>
      <c r="G10" s="248">
        <v>34000.0</v>
      </c>
      <c r="H10" s="235">
        <f t="shared" si="3"/>
        <v>186000</v>
      </c>
      <c r="I10" s="247">
        <v>995.0</v>
      </c>
      <c r="J10" s="249"/>
      <c r="K10" s="239"/>
    </row>
    <row r="11" ht="15.75" customHeight="1">
      <c r="A11" s="3" t="s">
        <v>319</v>
      </c>
      <c r="B11" s="4" t="s">
        <v>320</v>
      </c>
      <c r="C11" s="233">
        <v>1.0</v>
      </c>
      <c r="D11" s="250">
        <v>345000.0</v>
      </c>
      <c r="E11" s="250">
        <v>24700.0</v>
      </c>
      <c r="F11" s="251">
        <v>400000.0</v>
      </c>
      <c r="G11" s="251">
        <v>0.0</v>
      </c>
      <c r="H11" s="252">
        <v>430000.0</v>
      </c>
      <c r="I11" s="251">
        <v>0.0</v>
      </c>
      <c r="J11" s="4" t="s">
        <v>321</v>
      </c>
      <c r="K11" s="239"/>
    </row>
    <row r="12" ht="15.75" customHeight="1">
      <c r="A12" s="4" t="s">
        <v>322</v>
      </c>
      <c r="B12" s="4" t="s">
        <v>323</v>
      </c>
      <c r="C12" s="233">
        <v>1.0</v>
      </c>
      <c r="D12" s="250">
        <v>0.0</v>
      </c>
      <c r="E12" s="250">
        <v>0.0</v>
      </c>
      <c r="F12" s="252">
        <v>50000.0</v>
      </c>
      <c r="G12" s="251">
        <v>0.0</v>
      </c>
      <c r="H12" s="252">
        <v>52000.0</v>
      </c>
      <c r="I12" s="251">
        <v>600.0</v>
      </c>
      <c r="J12" s="4" t="s">
        <v>324</v>
      </c>
      <c r="K12" s="239" t="s">
        <v>325</v>
      </c>
    </row>
    <row r="13" ht="15.75" customHeight="1">
      <c r="A13" s="52" t="s">
        <v>326</v>
      </c>
      <c r="B13" s="25"/>
      <c r="C13" s="240">
        <f>AVERAGE(C10)</f>
        <v>1</v>
      </c>
      <c r="D13" s="253">
        <f>sum(D10)</f>
        <v>85000</v>
      </c>
      <c r="E13" s="253">
        <f t="shared" ref="E13:F13" si="4">SUM(E10)</f>
        <v>15000</v>
      </c>
      <c r="F13" s="241">
        <f t="shared" si="4"/>
        <v>220000</v>
      </c>
      <c r="G13" s="254">
        <f>SUM(G9+G10)</f>
        <v>768000</v>
      </c>
      <c r="H13" s="241">
        <f>SUM(H10+H9)</f>
        <v>952000</v>
      </c>
      <c r="I13" s="241">
        <f>SUM(I10)</f>
        <v>995</v>
      </c>
    </row>
    <row r="14" ht="15.75" customHeight="1">
      <c r="A14" s="25" t="s">
        <v>327</v>
      </c>
      <c r="B14" s="25"/>
      <c r="C14" s="240">
        <f>AVERAGE(C12)</f>
        <v>1</v>
      </c>
      <c r="D14" s="255">
        <f t="shared" ref="D14:G14" si="5">sum(D12)</f>
        <v>0</v>
      </c>
      <c r="E14" s="255">
        <f t="shared" si="5"/>
        <v>0</v>
      </c>
      <c r="F14" s="256">
        <f t="shared" si="5"/>
        <v>50000</v>
      </c>
      <c r="G14" s="256">
        <f t="shared" si="5"/>
        <v>0</v>
      </c>
      <c r="H14" s="256">
        <f>sum(H12+H11)</f>
        <v>482000</v>
      </c>
      <c r="I14" s="256">
        <f>sum(I12)</f>
        <v>600</v>
      </c>
      <c r="J14" s="25"/>
      <c r="K14" s="25"/>
      <c r="L14" s="25"/>
      <c r="M14" s="25"/>
      <c r="N14" s="25"/>
      <c r="O14" s="25"/>
      <c r="P14" s="25"/>
      <c r="Q14" s="25"/>
      <c r="R14" s="25"/>
      <c r="S14" s="25"/>
      <c r="T14" s="25"/>
      <c r="U14" s="25"/>
      <c r="V14" s="25"/>
      <c r="W14" s="25"/>
      <c r="X14" s="25"/>
      <c r="Y14" s="25"/>
      <c r="Z14" s="25"/>
      <c r="AA14" s="25"/>
      <c r="AB14" s="25"/>
      <c r="AC14" s="25"/>
      <c r="AD14" s="25"/>
    </row>
    <row r="15" ht="15.75" customHeight="1">
      <c r="A15" s="4"/>
      <c r="B15" s="4"/>
      <c r="C15" s="244"/>
      <c r="D15" s="234"/>
      <c r="E15" s="234"/>
      <c r="F15" s="234"/>
    </row>
    <row r="16" ht="15.75" customHeight="1">
      <c r="A16" s="243" t="s">
        <v>328</v>
      </c>
      <c r="B16" s="4"/>
      <c r="C16" s="244"/>
      <c r="D16" s="234"/>
      <c r="E16" s="234"/>
      <c r="F16" s="234"/>
    </row>
    <row r="17" ht="15.75" customHeight="1">
      <c r="A17" s="3" t="s">
        <v>329</v>
      </c>
      <c r="B17" s="4" t="s">
        <v>318</v>
      </c>
      <c r="C17" s="244">
        <v>0.51</v>
      </c>
      <c r="D17" s="234" t="s">
        <v>199</v>
      </c>
      <c r="E17" s="234">
        <v>60000.0</v>
      </c>
      <c r="F17" s="234" t="s">
        <v>199</v>
      </c>
      <c r="G17" s="4" t="s">
        <v>199</v>
      </c>
      <c r="H17" s="4" t="s">
        <v>199</v>
      </c>
      <c r="I17" s="247">
        <v>3800.0</v>
      </c>
      <c r="K17" s="239"/>
    </row>
    <row r="18" ht="15.75" customHeight="1">
      <c r="A18" s="4" t="s">
        <v>330</v>
      </c>
      <c r="B18" s="4" t="s">
        <v>318</v>
      </c>
      <c r="C18" s="233">
        <v>1.0</v>
      </c>
      <c r="D18" s="234" t="s">
        <v>199</v>
      </c>
      <c r="E18" s="234">
        <v>18000.0</v>
      </c>
      <c r="F18" s="234" t="s">
        <v>199</v>
      </c>
      <c r="G18" s="4" t="s">
        <v>199</v>
      </c>
      <c r="H18" s="4" t="s">
        <v>199</v>
      </c>
      <c r="I18" s="235">
        <v>7500.0</v>
      </c>
      <c r="K18" s="237"/>
    </row>
    <row r="19" ht="15.75" customHeight="1">
      <c r="A19" s="25" t="s">
        <v>122</v>
      </c>
      <c r="B19" s="25"/>
      <c r="C19" s="240"/>
      <c r="D19" s="25"/>
      <c r="E19" s="253">
        <f>SUM(E17:E18)</f>
        <v>78000</v>
      </c>
      <c r="F19" s="25" t="s">
        <v>199</v>
      </c>
      <c r="G19" s="4" t="s">
        <v>199</v>
      </c>
      <c r="H19" s="4" t="s">
        <v>199</v>
      </c>
      <c r="I19" s="242">
        <f>sum(I17:I18)</f>
        <v>11300</v>
      </c>
    </row>
    <row r="20" ht="15.75" customHeight="1">
      <c r="C20" s="244"/>
    </row>
    <row r="21" ht="15.75" customHeight="1">
      <c r="A21" s="40" t="s">
        <v>331</v>
      </c>
      <c r="C21" s="244"/>
      <c r="I21" s="257">
        <v>15000.0</v>
      </c>
    </row>
    <row r="22" ht="15.75" customHeight="1">
      <c r="C22" s="244"/>
    </row>
    <row r="23" ht="15.75" customHeight="1">
      <c r="C23" s="258"/>
      <c r="D23" s="258"/>
      <c r="E23" s="258"/>
      <c r="F23" s="259" t="s">
        <v>332</v>
      </c>
      <c r="G23" s="258"/>
      <c r="H23" s="258"/>
      <c r="I23" s="242"/>
      <c r="J23" s="179" t="s">
        <v>333</v>
      </c>
    </row>
    <row r="24" ht="15.75" customHeight="1">
      <c r="F24" s="258" t="s">
        <v>334</v>
      </c>
      <c r="G24" s="258"/>
      <c r="H24" s="260"/>
      <c r="I24" s="261" t="s">
        <v>335</v>
      </c>
      <c r="J24" s="262" t="s">
        <v>336</v>
      </c>
    </row>
    <row r="25" ht="15.75" customHeight="1"/>
    <row r="26" ht="15.75" customHeight="1">
      <c r="A26" s="227" t="s">
        <v>293</v>
      </c>
    </row>
    <row r="27" ht="15.75" customHeight="1">
      <c r="A27" s="228" t="s">
        <v>294</v>
      </c>
    </row>
    <row r="28" ht="15.75" customHeight="1">
      <c r="A28" s="228" t="s">
        <v>295</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2" width="12.25"/>
    <col customWidth="1" min="3" max="3" width="12.63"/>
    <col customWidth="1" min="4" max="4" width="11.75"/>
    <col customWidth="1" min="5" max="5" width="9.5"/>
    <col customWidth="1" min="6" max="6" width="9.25"/>
    <col customWidth="1" min="7" max="7" width="9.13"/>
    <col customWidth="1" min="8" max="8" width="10.63"/>
    <col customWidth="1" min="9" max="9" width="8.75"/>
    <col customWidth="1" min="10" max="10" width="9.13"/>
    <col customWidth="1" min="11" max="11" width="9.5"/>
    <col customWidth="1" min="12" max="12" width="9.63"/>
    <col customWidth="1" min="13" max="13" width="13.75"/>
  </cols>
  <sheetData>
    <row r="1" ht="26.25" customHeight="1">
      <c r="A1" s="263" t="s">
        <v>337</v>
      </c>
      <c r="B1" s="67"/>
      <c r="C1" s="119"/>
      <c r="D1" s="119"/>
      <c r="E1" s="119"/>
      <c r="F1" s="264"/>
      <c r="G1" s="264"/>
      <c r="H1" s="264"/>
      <c r="I1" s="119"/>
      <c r="J1" s="119"/>
      <c r="K1" s="119"/>
    </row>
    <row r="2" ht="15.75" customHeight="1">
      <c r="A2" s="52"/>
      <c r="B2" s="4"/>
      <c r="F2" s="243"/>
      <c r="G2" s="243"/>
      <c r="H2" s="243"/>
    </row>
    <row r="3" ht="15.75" customHeight="1">
      <c r="A3" s="52" t="s">
        <v>338</v>
      </c>
      <c r="B3" s="4"/>
      <c r="F3" s="243"/>
      <c r="G3" s="243"/>
      <c r="H3" s="243"/>
    </row>
    <row r="4" ht="15.75" customHeight="1">
      <c r="A4" s="4"/>
    </row>
    <row r="5" ht="15.75" customHeight="1">
      <c r="A5" s="25" t="s">
        <v>178</v>
      </c>
      <c r="B5" s="25" t="s">
        <v>179</v>
      </c>
      <c r="C5" s="25" t="s">
        <v>339</v>
      </c>
      <c r="D5" s="25" t="s">
        <v>340</v>
      </c>
      <c r="E5" s="25" t="s">
        <v>341</v>
      </c>
      <c r="F5" s="25" t="s">
        <v>180</v>
      </c>
      <c r="G5" s="25" t="s">
        <v>342</v>
      </c>
      <c r="H5" s="25" t="s">
        <v>343</v>
      </c>
      <c r="I5" s="25" t="s">
        <v>344</v>
      </c>
      <c r="J5" s="25" t="s">
        <v>188</v>
      </c>
      <c r="K5" s="25" t="s">
        <v>192</v>
      </c>
    </row>
    <row r="6" ht="15.75" customHeight="1">
      <c r="A6" s="3" t="s">
        <v>345</v>
      </c>
      <c r="B6" s="4"/>
      <c r="C6" s="250"/>
      <c r="D6" s="265"/>
      <c r="E6" s="250"/>
      <c r="F6" s="266"/>
      <c r="G6" s="267"/>
      <c r="H6" s="268"/>
      <c r="I6" s="4"/>
      <c r="J6" s="4"/>
      <c r="K6" s="4"/>
    </row>
    <row r="7" ht="15.75" customHeight="1">
      <c r="A7" s="3"/>
      <c r="B7" s="3"/>
      <c r="C7" s="250"/>
      <c r="D7" s="265"/>
      <c r="E7" s="250"/>
      <c r="F7" s="266"/>
      <c r="G7" s="267"/>
      <c r="H7" s="268"/>
      <c r="I7" s="4"/>
      <c r="J7" s="4"/>
      <c r="K7" s="4"/>
    </row>
    <row r="8" ht="15.75" customHeight="1">
      <c r="A8" s="52" t="s">
        <v>346</v>
      </c>
      <c r="B8" s="3"/>
      <c r="C8" s="250"/>
      <c r="D8" s="265"/>
      <c r="E8" s="250"/>
      <c r="F8" s="266"/>
      <c r="G8" s="267"/>
      <c r="H8" s="268"/>
      <c r="I8" s="4"/>
      <c r="J8" s="269"/>
      <c r="K8" s="269"/>
      <c r="L8" s="269"/>
    </row>
    <row r="9" ht="15.75" customHeight="1">
      <c r="A9" s="3" t="s">
        <v>347</v>
      </c>
      <c r="B9" s="270" t="s">
        <v>348</v>
      </c>
      <c r="C9" s="271" t="s">
        <v>349</v>
      </c>
      <c r="D9" s="272" t="s">
        <v>350</v>
      </c>
      <c r="E9" s="273"/>
      <c r="F9" s="274"/>
      <c r="G9" s="267"/>
      <c r="H9" s="268"/>
      <c r="I9" s="4"/>
      <c r="J9" s="275">
        <v>44856.0</v>
      </c>
      <c r="K9" s="275">
        <v>44826.0</v>
      </c>
      <c r="L9" s="275">
        <v>44949.0</v>
      </c>
      <c r="M9" s="275">
        <v>44980.0</v>
      </c>
    </row>
    <row r="10" ht="15.75" customHeight="1">
      <c r="A10" s="3" t="s">
        <v>351</v>
      </c>
      <c r="B10" s="270">
        <v>15.0</v>
      </c>
      <c r="C10" s="276">
        <v>19.97</v>
      </c>
      <c r="D10" s="277" t="s">
        <v>352</v>
      </c>
      <c r="E10" s="271" t="s">
        <v>353</v>
      </c>
      <c r="F10" s="278" t="s">
        <v>354</v>
      </c>
      <c r="G10" s="267"/>
      <c r="H10" s="268"/>
      <c r="I10" s="4"/>
      <c r="J10" s="270">
        <v>20.7</v>
      </c>
      <c r="K10" s="279">
        <v>21.0</v>
      </c>
      <c r="L10" s="279">
        <v>19.97</v>
      </c>
    </row>
    <row r="11" ht="15.75" customHeight="1">
      <c r="A11" s="3" t="s">
        <v>355</v>
      </c>
      <c r="B11" s="272">
        <v>16.0</v>
      </c>
      <c r="C11" s="276">
        <v>28.09</v>
      </c>
      <c r="D11" s="277" t="s">
        <v>352</v>
      </c>
      <c r="E11" s="271" t="s">
        <v>353</v>
      </c>
      <c r="F11" s="278" t="s">
        <v>354</v>
      </c>
      <c r="G11" s="267"/>
      <c r="H11" s="268"/>
      <c r="I11" s="4"/>
      <c r="J11" s="270">
        <v>29.4</v>
      </c>
      <c r="K11" s="279">
        <v>31.0</v>
      </c>
      <c r="L11" s="279">
        <v>28.09</v>
      </c>
    </row>
    <row r="12" ht="15.75" customHeight="1">
      <c r="A12" s="3" t="s">
        <v>356</v>
      </c>
      <c r="B12" s="280">
        <v>2.9</v>
      </c>
      <c r="C12" s="276">
        <v>3.83</v>
      </c>
      <c r="D12" s="277" t="s">
        <v>352</v>
      </c>
      <c r="E12" s="271" t="s">
        <v>353</v>
      </c>
      <c r="F12" s="278" t="s">
        <v>354</v>
      </c>
      <c r="G12" s="267"/>
      <c r="H12" s="268"/>
      <c r="I12" s="4"/>
      <c r="J12" s="270">
        <v>3.98</v>
      </c>
      <c r="K12" s="279">
        <v>4.1</v>
      </c>
      <c r="L12" s="279">
        <v>3.83</v>
      </c>
    </row>
    <row r="13" ht="15.75" customHeight="1">
      <c r="A13" s="3" t="s">
        <v>357</v>
      </c>
      <c r="B13" s="280">
        <v>1.6</v>
      </c>
      <c r="C13" s="276">
        <v>2.31</v>
      </c>
      <c r="D13" s="277" t="s">
        <v>352</v>
      </c>
      <c r="E13" s="271" t="s">
        <v>353</v>
      </c>
      <c r="F13" s="278" t="s">
        <v>354</v>
      </c>
      <c r="J13" s="22">
        <v>2.45</v>
      </c>
      <c r="K13" s="281">
        <v>2.6</v>
      </c>
      <c r="L13" s="279">
        <v>2.31</v>
      </c>
    </row>
    <row r="14" ht="15.75" customHeight="1">
      <c r="A14" s="282" t="s">
        <v>358</v>
      </c>
      <c r="B14" s="283">
        <v>0.05</v>
      </c>
      <c r="C14" s="283">
        <v>0.05</v>
      </c>
      <c r="D14" s="284" t="s">
        <v>359</v>
      </c>
      <c r="J14" s="285">
        <v>0.049</v>
      </c>
      <c r="K14" s="285">
        <v>0.048</v>
      </c>
      <c r="L14" s="285">
        <v>0.05</v>
      </c>
    </row>
    <row r="15" ht="15.75" customHeight="1">
      <c r="A15" s="4"/>
    </row>
    <row r="16" ht="15.75" customHeight="1">
      <c r="A16" s="286" t="s">
        <v>360</v>
      </c>
      <c r="B16" s="119"/>
      <c r="C16" s="119"/>
      <c r="D16" s="119"/>
      <c r="E16" s="119"/>
      <c r="F16" s="119"/>
      <c r="G16" s="119"/>
      <c r="H16" s="119"/>
      <c r="I16" s="119"/>
      <c r="J16" s="119"/>
      <c r="K16" s="119"/>
      <c r="L16" s="119"/>
      <c r="M16" s="119"/>
    </row>
    <row r="17" ht="15.75" customHeight="1">
      <c r="A17" s="287" t="s">
        <v>361</v>
      </c>
      <c r="B17" s="119"/>
      <c r="C17" s="119"/>
      <c r="D17" s="119"/>
      <c r="E17" s="119"/>
      <c r="F17" s="119"/>
      <c r="G17" s="119"/>
      <c r="H17" s="119"/>
      <c r="I17" s="119"/>
      <c r="J17" s="119"/>
      <c r="K17" s="119"/>
      <c r="L17" s="119"/>
      <c r="M17" s="119"/>
    </row>
    <row r="18" ht="15.75" customHeight="1">
      <c r="A18" s="287" t="s">
        <v>362</v>
      </c>
      <c r="B18" s="119"/>
      <c r="C18" s="119"/>
      <c r="D18" s="119"/>
      <c r="E18" s="119"/>
      <c r="F18" s="119"/>
      <c r="G18" s="119"/>
      <c r="H18" s="119"/>
      <c r="I18" s="119"/>
      <c r="J18" s="119"/>
      <c r="K18" s="119"/>
      <c r="L18" s="119"/>
      <c r="M18" s="119"/>
    </row>
    <row r="19" ht="15.75" customHeight="1">
      <c r="A19" s="4"/>
    </row>
    <row r="20" ht="15.75" customHeight="1">
      <c r="A20" s="25" t="s">
        <v>363</v>
      </c>
      <c r="B20" s="4"/>
    </row>
    <row r="21" ht="15.75" customHeight="1">
      <c r="A21" s="25"/>
      <c r="B21" s="4"/>
    </row>
    <row r="22" ht="15.75" customHeight="1">
      <c r="A22" s="288" t="s">
        <v>364</v>
      </c>
      <c r="B22" s="289" t="s">
        <v>365</v>
      </c>
      <c r="C22" s="54"/>
    </row>
    <row r="23" ht="15.75" customHeight="1">
      <c r="A23" s="93" t="s">
        <v>366</v>
      </c>
      <c r="B23" s="289" t="s">
        <v>367</v>
      </c>
      <c r="C23" s="54"/>
      <c r="D23" s="103"/>
      <c r="E23" s="103" t="s">
        <v>368</v>
      </c>
    </row>
    <row r="24" ht="15.75" customHeight="1">
      <c r="A24" s="25" t="s">
        <v>369</v>
      </c>
      <c r="B24" s="4" t="s">
        <v>370</v>
      </c>
      <c r="G24" s="102" t="s">
        <v>371</v>
      </c>
      <c r="H24" s="39" t="s">
        <v>372</v>
      </c>
    </row>
    <row r="25" ht="15.75" customHeight="1">
      <c r="A25" s="25" t="s">
        <v>373</v>
      </c>
      <c r="B25" s="3" t="s">
        <v>374</v>
      </c>
    </row>
    <row r="26" ht="15.75" customHeight="1">
      <c r="A26" s="25" t="s">
        <v>375</v>
      </c>
      <c r="B26" s="3" t="s">
        <v>376</v>
      </c>
    </row>
    <row r="27" ht="15.75" customHeight="1"/>
    <row r="28" ht="15.75" customHeight="1"/>
    <row r="29" ht="15.75" customHeight="1">
      <c r="A29" s="25" t="s">
        <v>366</v>
      </c>
      <c r="B29" s="290">
        <v>0.3</v>
      </c>
      <c r="G29" s="120" t="s">
        <v>377</v>
      </c>
      <c r="H29" s="119"/>
      <c r="I29" s="119"/>
      <c r="J29" s="119"/>
      <c r="K29" s="119"/>
    </row>
    <row r="30" ht="15.75" customHeight="1">
      <c r="A30" s="25" t="s">
        <v>369</v>
      </c>
      <c r="B30" s="290">
        <v>0.3</v>
      </c>
      <c r="G30" s="120" t="s">
        <v>378</v>
      </c>
      <c r="H30" s="119"/>
      <c r="I30" s="119"/>
      <c r="J30" s="119"/>
      <c r="K30" s="119"/>
    </row>
    <row r="31" ht="15.75" customHeight="1">
      <c r="A31" s="25" t="s">
        <v>373</v>
      </c>
      <c r="B31" s="290">
        <v>0.2</v>
      </c>
      <c r="G31" s="287" t="s">
        <v>379</v>
      </c>
      <c r="H31" s="119"/>
      <c r="I31" s="119"/>
      <c r="J31" s="119"/>
      <c r="K31" s="119"/>
    </row>
    <row r="32" ht="15.75" customHeight="1">
      <c r="A32" s="25" t="s">
        <v>380</v>
      </c>
      <c r="B32" s="290">
        <v>0.2</v>
      </c>
      <c r="G32" s="27" t="s">
        <v>381</v>
      </c>
      <c r="H32" s="28"/>
      <c r="I32" s="28"/>
      <c r="J32" s="28"/>
      <c r="K32" s="28"/>
    </row>
    <row r="33" ht="15.75" customHeight="1">
      <c r="G33" s="27" t="s">
        <v>382</v>
      </c>
      <c r="H33" s="28"/>
      <c r="I33" s="28"/>
      <c r="J33" s="110"/>
      <c r="K33" s="110"/>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5"/>
    <col customWidth="1" min="2" max="5" width="12.63"/>
    <col customWidth="1" min="6" max="6" width="13.38"/>
    <col customWidth="1" min="7" max="7" width="17.0"/>
  </cols>
  <sheetData>
    <row r="1" ht="15.75" customHeight="1">
      <c r="A1" s="52" t="s">
        <v>383</v>
      </c>
      <c r="C1" s="291" t="s">
        <v>384</v>
      </c>
      <c r="D1" s="124"/>
      <c r="E1" s="124"/>
      <c r="F1" s="124"/>
      <c r="G1" s="124"/>
      <c r="H1" s="124"/>
      <c r="I1" s="124"/>
      <c r="J1" s="124"/>
    </row>
    <row r="2" ht="15.75" customHeight="1"/>
    <row r="3" ht="15.75" customHeight="1">
      <c r="A3" s="292" t="s">
        <v>385</v>
      </c>
      <c r="B3" s="293"/>
      <c r="C3" s="293"/>
      <c r="D3" s="293"/>
      <c r="E3" s="293"/>
      <c r="F3" s="293"/>
    </row>
    <row r="4" ht="15.75" customHeight="1"/>
    <row r="5" ht="15.75" customHeight="1">
      <c r="A5" s="52" t="s">
        <v>386</v>
      </c>
      <c r="B5" s="53" t="s">
        <v>387</v>
      </c>
      <c r="C5" s="53" t="s">
        <v>388</v>
      </c>
      <c r="D5" s="53" t="s">
        <v>389</v>
      </c>
      <c r="E5" s="53" t="s">
        <v>390</v>
      </c>
      <c r="F5" s="53" t="s">
        <v>391</v>
      </c>
      <c r="G5" s="39" t="s">
        <v>192</v>
      </c>
    </row>
    <row r="6" ht="15.75" customHeight="1">
      <c r="A6" s="4"/>
      <c r="B6" s="294" t="s">
        <v>392</v>
      </c>
      <c r="C6" s="294" t="s">
        <v>236</v>
      </c>
      <c r="D6" s="294"/>
      <c r="E6" s="294"/>
    </row>
    <row r="7" ht="15.75" customHeight="1">
      <c r="A7" s="3" t="s">
        <v>393</v>
      </c>
      <c r="B7" s="286">
        <v>28.84</v>
      </c>
      <c r="C7" s="3">
        <v>30.2</v>
      </c>
      <c r="F7" s="4" t="s">
        <v>394</v>
      </c>
      <c r="G7" s="40" t="s">
        <v>395</v>
      </c>
    </row>
    <row r="8" ht="15.75" customHeight="1">
      <c r="A8" s="40" t="s">
        <v>396</v>
      </c>
      <c r="B8" s="295">
        <v>0.0559</v>
      </c>
      <c r="C8" s="296">
        <v>0.178</v>
      </c>
      <c r="F8" s="40" t="s">
        <v>397</v>
      </c>
      <c r="G8" s="40" t="s">
        <v>398</v>
      </c>
    </row>
    <row r="9" ht="15.75" customHeight="1">
      <c r="A9" s="40" t="s">
        <v>399</v>
      </c>
      <c r="B9" s="40">
        <v>2.93</v>
      </c>
      <c r="C9" s="120">
        <v>1.96</v>
      </c>
      <c r="F9" s="40" t="s">
        <v>400</v>
      </c>
      <c r="G9" s="40" t="s">
        <v>401</v>
      </c>
    </row>
    <row r="10" ht="15.75" customHeight="1">
      <c r="A10" s="297" t="s">
        <v>402</v>
      </c>
      <c r="B10" s="40">
        <v>1.24</v>
      </c>
      <c r="C10" s="120">
        <v>0.93</v>
      </c>
      <c r="F10" s="40" t="s">
        <v>394</v>
      </c>
      <c r="G10" s="40" t="s">
        <v>403</v>
      </c>
    </row>
    <row r="11" ht="15.75" customHeight="1">
      <c r="A11" s="297" t="s">
        <v>404</v>
      </c>
      <c r="B11" s="298">
        <v>3.6</v>
      </c>
      <c r="C11" s="120">
        <v>22.29</v>
      </c>
      <c r="F11" s="40" t="s">
        <v>394</v>
      </c>
      <c r="G11" s="40" t="s">
        <v>405</v>
      </c>
    </row>
    <row r="12" ht="15.75" customHeight="1">
      <c r="A12" s="297" t="s">
        <v>406</v>
      </c>
      <c r="B12" s="298">
        <v>0.9</v>
      </c>
      <c r="C12" s="299">
        <v>1.8</v>
      </c>
      <c r="F12" s="40" t="s">
        <v>397</v>
      </c>
      <c r="G12" s="40" t="s">
        <v>407</v>
      </c>
    </row>
    <row r="13" ht="15.75" customHeight="1">
      <c r="A13" s="300" t="s">
        <v>408</v>
      </c>
      <c r="B13" s="27">
        <v>0.94</v>
      </c>
      <c r="C13" s="120">
        <v>0.35</v>
      </c>
      <c r="D13" s="28"/>
      <c r="E13" s="28"/>
      <c r="F13" s="27" t="s">
        <v>394</v>
      </c>
      <c r="G13" s="27" t="s">
        <v>409</v>
      </c>
      <c r="H13" s="28"/>
      <c r="I13" s="28"/>
      <c r="J13" s="28"/>
    </row>
    <row r="14" ht="15.75" customHeight="1">
      <c r="A14" s="25" t="s">
        <v>410</v>
      </c>
      <c r="B14" s="301"/>
      <c r="C14" s="302" t="s">
        <v>236</v>
      </c>
      <c r="D14" s="46"/>
    </row>
    <row r="15" ht="15.75" customHeight="1"/>
    <row r="16" ht="15.75" customHeight="1"/>
    <row r="17" ht="15.75" customHeight="1">
      <c r="A17" s="52" t="s">
        <v>411</v>
      </c>
      <c r="B17" s="53" t="s">
        <v>387</v>
      </c>
      <c r="C17" s="53" t="s">
        <v>388</v>
      </c>
      <c r="D17" s="53" t="s">
        <v>389</v>
      </c>
      <c r="E17" s="53" t="s">
        <v>390</v>
      </c>
      <c r="F17" s="270" t="s">
        <v>412</v>
      </c>
    </row>
    <row r="18" ht="15.75" customHeight="1">
      <c r="A18" s="4"/>
      <c r="B18" s="294" t="s">
        <v>392</v>
      </c>
      <c r="C18" s="294" t="s">
        <v>236</v>
      </c>
      <c r="D18" s="294"/>
      <c r="E18" s="294"/>
    </row>
    <row r="19" ht="15.75" customHeight="1">
      <c r="A19" s="3" t="s">
        <v>393</v>
      </c>
      <c r="B19" s="286">
        <v>28.84</v>
      </c>
      <c r="C19" s="3">
        <v>30.2</v>
      </c>
      <c r="F19" s="4" t="s">
        <v>394</v>
      </c>
    </row>
    <row r="20" ht="15.75" customHeight="1">
      <c r="A20" s="40" t="s">
        <v>396</v>
      </c>
      <c r="B20" s="295">
        <v>0.0559</v>
      </c>
      <c r="C20" s="296">
        <v>0.178</v>
      </c>
      <c r="F20" s="40" t="s">
        <v>397</v>
      </c>
    </row>
    <row r="21" ht="15.75" customHeight="1">
      <c r="A21" s="40" t="s">
        <v>399</v>
      </c>
      <c r="B21" s="40">
        <v>2.93</v>
      </c>
      <c r="C21" s="120">
        <v>1.96</v>
      </c>
      <c r="F21" s="40" t="s">
        <v>400</v>
      </c>
    </row>
    <row r="22" ht="15.75" customHeight="1">
      <c r="A22" s="297" t="s">
        <v>402</v>
      </c>
      <c r="B22" s="40">
        <v>1.24</v>
      </c>
      <c r="C22" s="120">
        <v>0.93</v>
      </c>
      <c r="F22" s="40" t="s">
        <v>394</v>
      </c>
    </row>
    <row r="23" ht="15.75" customHeight="1">
      <c r="A23" s="297" t="s">
        <v>404</v>
      </c>
      <c r="B23" s="299">
        <v>3.6</v>
      </c>
      <c r="C23" s="116">
        <v>22.29</v>
      </c>
      <c r="F23" s="40" t="s">
        <v>394</v>
      </c>
    </row>
    <row r="24" ht="15.75" customHeight="1">
      <c r="A24" s="297" t="s">
        <v>406</v>
      </c>
      <c r="B24" s="298">
        <v>0.9</v>
      </c>
      <c r="C24" s="299">
        <v>1.8</v>
      </c>
      <c r="F24" s="40" t="s">
        <v>397</v>
      </c>
      <c r="G24" s="40" t="s">
        <v>407</v>
      </c>
    </row>
    <row r="25" ht="15.75" customHeight="1">
      <c r="A25" s="300" t="s">
        <v>413</v>
      </c>
      <c r="B25" s="27">
        <v>0.94</v>
      </c>
      <c r="C25" s="27">
        <v>0.35</v>
      </c>
      <c r="D25" s="110"/>
      <c r="E25" s="110"/>
      <c r="F25" s="27" t="s">
        <v>394</v>
      </c>
    </row>
    <row r="26" ht="15.75" customHeight="1">
      <c r="A26" s="4" t="s">
        <v>414</v>
      </c>
      <c r="B26" s="303">
        <v>0.1431</v>
      </c>
      <c r="C26" s="244">
        <v>0.2463</v>
      </c>
      <c r="F26" s="4" t="s">
        <v>415</v>
      </c>
    </row>
    <row r="27" ht="15.75" customHeight="1">
      <c r="A27" s="4" t="s">
        <v>416</v>
      </c>
      <c r="B27" s="244">
        <v>0.0065</v>
      </c>
      <c r="C27" s="303">
        <v>0.0094</v>
      </c>
      <c r="F27" s="4" t="s">
        <v>397</v>
      </c>
    </row>
    <row r="28" ht="15.75" customHeight="1">
      <c r="A28" s="4" t="s">
        <v>417</v>
      </c>
      <c r="B28" s="244">
        <v>0.2641</v>
      </c>
      <c r="C28" s="303">
        <v>0.3763</v>
      </c>
      <c r="F28" s="4" t="s">
        <v>397</v>
      </c>
    </row>
    <row r="29" ht="15.75" customHeight="1">
      <c r="A29" s="3" t="s">
        <v>418</v>
      </c>
      <c r="B29" s="303">
        <v>0.2169</v>
      </c>
      <c r="C29" s="244">
        <v>0.1567</v>
      </c>
      <c r="F29" s="4" t="s">
        <v>397</v>
      </c>
    </row>
    <row r="30" ht="15.75" customHeight="1">
      <c r="A30" s="3" t="s">
        <v>419</v>
      </c>
      <c r="B30" s="303">
        <v>1.4927</v>
      </c>
      <c r="C30" s="244">
        <v>0.4872</v>
      </c>
      <c r="F30" s="4" t="s">
        <v>397</v>
      </c>
    </row>
    <row r="31" ht="15.75" customHeight="1">
      <c r="A31" s="4" t="s">
        <v>420</v>
      </c>
      <c r="B31" s="4">
        <v>178.02</v>
      </c>
      <c r="C31" s="67">
        <v>47.86</v>
      </c>
      <c r="F31" s="4" t="s">
        <v>394</v>
      </c>
    </row>
    <row r="32" ht="15.75" customHeight="1">
      <c r="A32" s="3" t="s">
        <v>421</v>
      </c>
      <c r="B32" s="289">
        <v>1.9</v>
      </c>
      <c r="C32" s="286">
        <v>1.7</v>
      </c>
      <c r="F32" s="3" t="s">
        <v>394</v>
      </c>
      <c r="G32" s="40" t="s">
        <v>422</v>
      </c>
    </row>
    <row r="33" ht="15.75" customHeight="1">
      <c r="A33" s="3" t="s">
        <v>423</v>
      </c>
      <c r="B33" s="304" t="s">
        <v>348</v>
      </c>
      <c r="C33" s="305" t="s">
        <v>424</v>
      </c>
      <c r="F33" s="3" t="s">
        <v>424</v>
      </c>
      <c r="G33" s="40" t="s">
        <v>425</v>
      </c>
    </row>
    <row r="34" ht="15.75" customHeight="1">
      <c r="A34" s="25" t="s">
        <v>410</v>
      </c>
      <c r="B34" s="301"/>
      <c r="C34" s="306" t="s">
        <v>236</v>
      </c>
      <c r="D34" s="294"/>
    </row>
    <row r="35" ht="15.75" customHeight="1"/>
    <row r="38" ht="15.75" customHeight="1">
      <c r="A38" s="52" t="s">
        <v>386</v>
      </c>
      <c r="B38" s="53" t="s">
        <v>387</v>
      </c>
      <c r="C38" s="53" t="s">
        <v>388</v>
      </c>
      <c r="D38" s="53" t="s">
        <v>389</v>
      </c>
      <c r="E38" s="53" t="s">
        <v>390</v>
      </c>
      <c r="F38" s="294" t="s">
        <v>391</v>
      </c>
    </row>
    <row r="39" ht="15.75" customHeight="1">
      <c r="A39" s="307" t="s">
        <v>426</v>
      </c>
      <c r="B39" s="270" t="s">
        <v>252</v>
      </c>
      <c r="C39" s="270" t="s">
        <v>427</v>
      </c>
      <c r="D39" s="294"/>
      <c r="E39" s="294"/>
    </row>
    <row r="40" ht="15.75" customHeight="1">
      <c r="A40" s="3" t="s">
        <v>393</v>
      </c>
      <c r="B40" s="308">
        <v>10.9</v>
      </c>
      <c r="C40" s="304">
        <v>10.78</v>
      </c>
      <c r="F40" s="4" t="s">
        <v>394</v>
      </c>
      <c r="G40" s="40" t="s">
        <v>395</v>
      </c>
    </row>
    <row r="41" ht="15.75" customHeight="1">
      <c r="A41" s="40" t="s">
        <v>396</v>
      </c>
      <c r="B41" s="309">
        <v>0.1076</v>
      </c>
      <c r="C41" s="310">
        <v>0.1668</v>
      </c>
      <c r="F41" s="40" t="s">
        <v>397</v>
      </c>
      <c r="G41" s="40" t="s">
        <v>398</v>
      </c>
    </row>
    <row r="42" ht="15.75" customHeight="1">
      <c r="A42" s="40" t="s">
        <v>399</v>
      </c>
      <c r="B42" s="311">
        <v>0.8</v>
      </c>
      <c r="C42" s="312">
        <v>0.44</v>
      </c>
      <c r="F42" s="40" t="s">
        <v>400</v>
      </c>
      <c r="G42" s="40" t="s">
        <v>401</v>
      </c>
    </row>
    <row r="43" ht="15.75" customHeight="1">
      <c r="A43" s="297" t="s">
        <v>402</v>
      </c>
      <c r="B43" s="313">
        <v>1.13</v>
      </c>
      <c r="C43" s="313">
        <v>1.06</v>
      </c>
      <c r="F43" s="40" t="s">
        <v>394</v>
      </c>
      <c r="G43" s="40" t="s">
        <v>403</v>
      </c>
    </row>
    <row r="44" ht="15.75" customHeight="1">
      <c r="A44" s="297" t="s">
        <v>404</v>
      </c>
      <c r="B44" s="311">
        <v>2.07</v>
      </c>
      <c r="C44" s="313">
        <v>2.35</v>
      </c>
      <c r="F44" s="40" t="s">
        <v>397</v>
      </c>
      <c r="G44" s="40" t="s">
        <v>405</v>
      </c>
    </row>
    <row r="45" ht="15.75" customHeight="1">
      <c r="A45" s="297" t="s">
        <v>406</v>
      </c>
      <c r="B45" s="314">
        <v>1.3</v>
      </c>
      <c r="C45" s="313">
        <v>1.2</v>
      </c>
      <c r="F45" s="40" t="s">
        <v>397</v>
      </c>
      <c r="G45" s="116" t="s">
        <v>407</v>
      </c>
      <c r="H45" s="315"/>
      <c r="I45" s="315"/>
      <c r="J45" s="315"/>
    </row>
    <row r="46" ht="15.75" customHeight="1">
      <c r="A46" s="300" t="s">
        <v>413</v>
      </c>
      <c r="B46" s="316">
        <v>0.44</v>
      </c>
      <c r="C46" s="316">
        <v>0.49</v>
      </c>
      <c r="D46" s="28"/>
      <c r="E46" s="28"/>
      <c r="F46" s="27" t="s">
        <v>394</v>
      </c>
      <c r="G46" s="27" t="s">
        <v>409</v>
      </c>
      <c r="H46" s="28"/>
      <c r="I46" s="28"/>
      <c r="J46" s="28"/>
    </row>
    <row r="47" ht="15.75" customHeight="1">
      <c r="A47" s="25" t="s">
        <v>410</v>
      </c>
      <c r="B47" s="304" t="s">
        <v>428</v>
      </c>
      <c r="C47" s="317" t="s">
        <v>428</v>
      </c>
      <c r="D47" s="294"/>
    </row>
    <row r="48" ht="15.75" customHeight="1"/>
    <row r="49" ht="15.75" customHeight="1"/>
    <row r="50" ht="15.75" customHeight="1">
      <c r="A50" s="52" t="s">
        <v>411</v>
      </c>
      <c r="B50" s="25" t="s">
        <v>387</v>
      </c>
      <c r="C50" s="25" t="s">
        <v>388</v>
      </c>
      <c r="D50" s="25" t="s">
        <v>389</v>
      </c>
      <c r="E50" s="25" t="s">
        <v>390</v>
      </c>
      <c r="F50" s="270" t="s">
        <v>412</v>
      </c>
    </row>
    <row r="51" ht="15.75" customHeight="1">
      <c r="A51" s="307" t="s">
        <v>429</v>
      </c>
      <c r="B51" s="318" t="s">
        <v>430</v>
      </c>
      <c r="C51" s="270" t="s">
        <v>431</v>
      </c>
      <c r="D51" s="294"/>
      <c r="E51" s="294"/>
    </row>
    <row r="52" ht="15.75" customHeight="1">
      <c r="A52" s="3" t="s">
        <v>393</v>
      </c>
      <c r="B52" s="308">
        <v>46.21</v>
      </c>
      <c r="C52" s="305">
        <v>18.66</v>
      </c>
      <c r="F52" s="4" t="s">
        <v>394</v>
      </c>
    </row>
    <row r="53" ht="15.75" customHeight="1">
      <c r="A53" s="40" t="s">
        <v>396</v>
      </c>
      <c r="B53" s="319">
        <v>5.43</v>
      </c>
      <c r="C53" s="320">
        <v>4.94</v>
      </c>
      <c r="F53" s="40" t="s">
        <v>397</v>
      </c>
    </row>
    <row r="54" ht="15.75" customHeight="1">
      <c r="A54" s="40" t="s">
        <v>399</v>
      </c>
      <c r="B54" s="311">
        <v>1.97</v>
      </c>
      <c r="C54" s="312">
        <v>0.97</v>
      </c>
      <c r="F54" s="40" t="s">
        <v>400</v>
      </c>
    </row>
    <row r="55" ht="15.75" customHeight="1">
      <c r="A55" s="297" t="s">
        <v>402</v>
      </c>
      <c r="B55" s="312">
        <v>1.64</v>
      </c>
      <c r="C55" s="313">
        <v>1.84</v>
      </c>
      <c r="F55" s="40" t="s">
        <v>394</v>
      </c>
    </row>
    <row r="56" ht="15.75" customHeight="1">
      <c r="A56" s="297" t="s">
        <v>404</v>
      </c>
      <c r="B56" s="321">
        <v>16.4</v>
      </c>
      <c r="C56" s="313">
        <v>5.8</v>
      </c>
      <c r="F56" s="40" t="s">
        <v>397</v>
      </c>
    </row>
    <row r="57" ht="15.75" customHeight="1">
      <c r="A57" s="297" t="s">
        <v>406</v>
      </c>
      <c r="B57" s="322">
        <v>5.3</v>
      </c>
      <c r="C57" s="313">
        <v>2.8</v>
      </c>
      <c r="F57" s="40" t="s">
        <v>397</v>
      </c>
      <c r="G57" s="40" t="s">
        <v>407</v>
      </c>
    </row>
    <row r="58" ht="15.75" customHeight="1">
      <c r="A58" s="300" t="s">
        <v>413</v>
      </c>
      <c r="B58" s="316">
        <v>0.8</v>
      </c>
      <c r="C58" s="312">
        <v>0.64</v>
      </c>
      <c r="D58" s="110"/>
      <c r="E58" s="110"/>
      <c r="F58" s="27" t="s">
        <v>394</v>
      </c>
    </row>
    <row r="59" ht="15.75" customHeight="1">
      <c r="A59" s="4" t="s">
        <v>414</v>
      </c>
      <c r="B59" s="323">
        <v>0.16</v>
      </c>
      <c r="C59" s="323" t="s">
        <v>199</v>
      </c>
      <c r="F59" s="4" t="s">
        <v>415</v>
      </c>
    </row>
    <row r="60" ht="15.75" customHeight="1">
      <c r="A60" s="4" t="s">
        <v>416</v>
      </c>
      <c r="B60" s="324">
        <v>9.0E-4</v>
      </c>
      <c r="C60" s="289" t="s">
        <v>199</v>
      </c>
      <c r="F60" s="4" t="s">
        <v>397</v>
      </c>
    </row>
    <row r="61" ht="15.75" customHeight="1">
      <c r="A61" s="4" t="s">
        <v>417</v>
      </c>
      <c r="B61" s="325">
        <v>0.32</v>
      </c>
      <c r="C61" s="324">
        <v>0.226</v>
      </c>
      <c r="F61" s="4" t="s">
        <v>397</v>
      </c>
    </row>
    <row r="62" ht="15.75" customHeight="1">
      <c r="A62" s="3" t="s">
        <v>418</v>
      </c>
      <c r="B62" s="325">
        <v>0.224</v>
      </c>
      <c r="C62" s="324">
        <v>0.174</v>
      </c>
      <c r="F62" s="4" t="s">
        <v>397</v>
      </c>
    </row>
    <row r="63" ht="15.75" customHeight="1">
      <c r="A63" s="3" t="s">
        <v>419</v>
      </c>
      <c r="B63" s="324">
        <v>0.387</v>
      </c>
      <c r="C63" s="324">
        <v>0.361</v>
      </c>
      <c r="F63" s="4" t="s">
        <v>397</v>
      </c>
    </row>
    <row r="64" ht="15.75" customHeight="1">
      <c r="A64" s="4" t="s">
        <v>420</v>
      </c>
      <c r="B64" s="286">
        <v>0.0</v>
      </c>
      <c r="C64" s="289">
        <v>0.6</v>
      </c>
      <c r="F64" s="4" t="s">
        <v>394</v>
      </c>
    </row>
    <row r="65" ht="15.75" customHeight="1">
      <c r="A65" s="3" t="s">
        <v>421</v>
      </c>
      <c r="B65" s="289">
        <v>2.0</v>
      </c>
      <c r="C65" s="289">
        <v>2.1</v>
      </c>
      <c r="F65" s="3" t="s">
        <v>394</v>
      </c>
      <c r="G65" s="40" t="s">
        <v>422</v>
      </c>
    </row>
    <row r="66" ht="15.75" customHeight="1">
      <c r="A66" s="3" t="s">
        <v>423</v>
      </c>
      <c r="B66" s="305" t="s">
        <v>432</v>
      </c>
      <c r="C66" s="304" t="s">
        <v>348</v>
      </c>
      <c r="F66" s="3" t="s">
        <v>424</v>
      </c>
      <c r="G66" s="40" t="s">
        <v>425</v>
      </c>
    </row>
    <row r="67" ht="15.75" customHeight="1">
      <c r="A67" s="25" t="s">
        <v>410</v>
      </c>
      <c r="B67" s="326" t="s">
        <v>430</v>
      </c>
      <c r="C67" s="301"/>
      <c r="D67" s="294"/>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3.75"/>
    <col customWidth="1" min="2" max="2" width="6.75"/>
    <col customWidth="1" min="3" max="3" width="11.63"/>
    <col customWidth="1" min="4" max="4" width="8.88"/>
    <col customWidth="1" min="5" max="5" width="9.5"/>
    <col customWidth="1" min="6" max="6" width="9.0"/>
    <col customWidth="1" min="7" max="7" width="9.13"/>
    <col customWidth="1" min="8" max="8" width="11.5"/>
    <col customWidth="1" min="9" max="9" width="23.38"/>
    <col customWidth="1" min="10" max="10" width="115.25"/>
    <col customWidth="1" min="11" max="11" width="19.25"/>
    <col customWidth="1" min="12" max="12" width="15.63"/>
  </cols>
  <sheetData>
    <row r="1" ht="15.75" customHeight="1">
      <c r="A1" s="327" t="s">
        <v>433</v>
      </c>
      <c r="B1" s="25"/>
      <c r="C1" s="25"/>
      <c r="D1" s="173"/>
      <c r="E1" s="173"/>
      <c r="F1" s="173"/>
      <c r="G1" s="328"/>
      <c r="H1" s="329"/>
      <c r="I1" s="108"/>
    </row>
    <row r="2" ht="10.5" customHeight="1">
      <c r="A2" s="25"/>
      <c r="B2" s="25"/>
      <c r="C2" s="25"/>
      <c r="D2" s="173"/>
      <c r="E2" s="173"/>
      <c r="F2" s="173"/>
      <c r="G2" s="328"/>
      <c r="H2" s="329"/>
      <c r="I2" s="108"/>
    </row>
    <row r="3" ht="15.75" customHeight="1">
      <c r="A3" s="53" t="s">
        <v>434</v>
      </c>
      <c r="B3" s="53" t="s">
        <v>435</v>
      </c>
      <c r="C3" s="53" t="s">
        <v>56</v>
      </c>
      <c r="D3" s="53" t="s">
        <v>436</v>
      </c>
      <c r="E3" s="53" t="s">
        <v>437</v>
      </c>
      <c r="F3" s="328" t="s">
        <v>438</v>
      </c>
      <c r="G3" s="330" t="s">
        <v>439</v>
      </c>
      <c r="H3" s="53" t="s">
        <v>440</v>
      </c>
      <c r="I3" s="53" t="s">
        <v>441</v>
      </c>
      <c r="J3" s="173"/>
      <c r="K3" s="294"/>
      <c r="L3" s="294"/>
      <c r="M3" s="294"/>
      <c r="N3" s="294"/>
      <c r="O3" s="294"/>
      <c r="P3" s="294"/>
      <c r="Q3" s="294"/>
      <c r="R3" s="294"/>
      <c r="S3" s="294"/>
      <c r="T3" s="294"/>
      <c r="U3" s="294"/>
      <c r="V3" s="294"/>
      <c r="W3" s="294"/>
      <c r="X3" s="294"/>
      <c r="Y3" s="294"/>
      <c r="Z3" s="294"/>
      <c r="AA3" s="294"/>
      <c r="AB3" s="294"/>
      <c r="AC3" s="294"/>
    </row>
    <row r="4" ht="15.75" customHeight="1">
      <c r="A4" s="223" t="s">
        <v>442</v>
      </c>
      <c r="B4" s="331"/>
      <c r="C4" s="332"/>
      <c r="D4" s="333"/>
      <c r="E4" s="333"/>
      <c r="F4" s="334"/>
      <c r="H4" s="335"/>
      <c r="I4" s="178"/>
      <c r="J4" s="180"/>
      <c r="K4" s="180"/>
      <c r="L4" s="180"/>
      <c r="M4" s="180"/>
      <c r="N4" s="180"/>
      <c r="O4" s="180"/>
      <c r="P4" s="180"/>
      <c r="Q4" s="180"/>
      <c r="R4" s="180"/>
      <c r="S4" s="180"/>
      <c r="T4" s="180"/>
      <c r="U4" s="180"/>
      <c r="V4" s="180"/>
      <c r="W4" s="180"/>
    </row>
    <row r="5" ht="15.75" customHeight="1">
      <c r="A5" s="221" t="s">
        <v>443</v>
      </c>
      <c r="B5" s="331"/>
      <c r="C5" s="332"/>
      <c r="D5" s="333"/>
      <c r="E5" s="333"/>
      <c r="F5" s="336"/>
      <c r="G5" s="337"/>
      <c r="H5" s="338"/>
      <c r="I5" s="178"/>
      <c r="J5" s="180"/>
      <c r="K5" s="180"/>
      <c r="L5" s="180"/>
      <c r="M5" s="180"/>
      <c r="N5" s="180"/>
      <c r="O5" s="180"/>
      <c r="P5" s="180"/>
      <c r="Q5" s="180"/>
      <c r="R5" s="180"/>
      <c r="S5" s="180"/>
      <c r="T5" s="180"/>
      <c r="U5" s="180"/>
      <c r="V5" s="180"/>
      <c r="W5" s="180"/>
    </row>
    <row r="6" ht="15.75" customHeight="1">
      <c r="A6" s="339"/>
      <c r="B6" s="331"/>
      <c r="C6" s="332"/>
      <c r="D6" s="333"/>
      <c r="E6" s="333"/>
      <c r="F6" s="336"/>
      <c r="G6" s="337"/>
      <c r="H6" s="337"/>
      <c r="I6" s="178"/>
      <c r="J6" s="180"/>
      <c r="K6" s="180"/>
      <c r="L6" s="180"/>
      <c r="M6" s="180"/>
      <c r="N6" s="180"/>
      <c r="O6" s="180"/>
      <c r="P6" s="180"/>
      <c r="Q6" s="180"/>
      <c r="R6" s="180"/>
      <c r="S6" s="180"/>
      <c r="T6" s="180"/>
      <c r="U6" s="180"/>
      <c r="V6" s="180"/>
      <c r="W6" s="180"/>
    </row>
    <row r="7" ht="15.75" customHeight="1">
      <c r="A7" s="340" t="s">
        <v>444</v>
      </c>
      <c r="B7" s="341" t="s">
        <v>445</v>
      </c>
      <c r="C7" s="342" t="s">
        <v>446</v>
      </c>
      <c r="D7" s="343">
        <v>9597.0</v>
      </c>
      <c r="E7" s="344">
        <v>11409.0</v>
      </c>
      <c r="F7" s="345">
        <v>18.5</v>
      </c>
      <c r="G7" s="346" t="str">
        <f t="shared" ref="G7:G14" si="1">GECKOPRICE2(B7,"USD")</f>
        <v>Loading...</v>
      </c>
      <c r="H7" s="347" t="str">
        <f t="shared" ref="H7:H14" si="2">E7*G7</f>
        <v>Loading...</v>
      </c>
      <c r="I7" s="348" t="s">
        <v>447</v>
      </c>
      <c r="J7" s="349"/>
      <c r="K7" s="180"/>
      <c r="L7" s="180"/>
      <c r="M7" s="180"/>
      <c r="N7" s="180"/>
      <c r="O7" s="180"/>
      <c r="P7" s="180"/>
      <c r="Q7" s="180"/>
      <c r="R7" s="180"/>
      <c r="S7" s="180"/>
      <c r="T7" s="180"/>
      <c r="U7" s="180"/>
      <c r="V7" s="180"/>
      <c r="W7" s="180"/>
    </row>
    <row r="8" ht="15.75" customHeight="1">
      <c r="A8" s="340" t="s">
        <v>448</v>
      </c>
      <c r="B8" s="349" t="s">
        <v>449</v>
      </c>
      <c r="C8" s="350" t="s">
        <v>450</v>
      </c>
      <c r="D8" s="351">
        <v>3.21</v>
      </c>
      <c r="E8" s="352">
        <v>3.25</v>
      </c>
      <c r="F8" s="353">
        <v>9500.0</v>
      </c>
      <c r="G8" s="354" t="str">
        <f t="shared" si="1"/>
        <v>Loading...</v>
      </c>
      <c r="H8" s="347" t="str">
        <f t="shared" si="2"/>
        <v>Loading...</v>
      </c>
      <c r="I8" s="355" t="s">
        <v>451</v>
      </c>
      <c r="J8" s="356"/>
    </row>
    <row r="9" ht="15.75" customHeight="1">
      <c r="A9" s="357" t="s">
        <v>452</v>
      </c>
      <c r="B9" s="341" t="s">
        <v>453</v>
      </c>
      <c r="C9" s="358" t="s">
        <v>454</v>
      </c>
      <c r="D9" s="359">
        <v>16.5</v>
      </c>
      <c r="E9" s="359">
        <v>16.0</v>
      </c>
      <c r="F9" s="353">
        <v>850.0</v>
      </c>
      <c r="G9" s="354" t="str">
        <f t="shared" si="1"/>
        <v>Loading...</v>
      </c>
      <c r="H9" s="347" t="str">
        <f t="shared" si="2"/>
        <v>Loading...</v>
      </c>
      <c r="I9" s="355" t="s">
        <v>451</v>
      </c>
      <c r="J9" s="356"/>
      <c r="K9" s="180"/>
      <c r="L9" s="180"/>
      <c r="M9" s="180"/>
      <c r="N9" s="180"/>
      <c r="O9" s="180"/>
      <c r="P9" s="180"/>
      <c r="Q9" s="180"/>
      <c r="R9" s="180"/>
      <c r="S9" s="180"/>
      <c r="T9" s="180"/>
      <c r="U9" s="180"/>
      <c r="V9" s="180"/>
      <c r="W9" s="180"/>
    </row>
    <row r="10" ht="15.75" customHeight="1">
      <c r="A10" s="357" t="s">
        <v>455</v>
      </c>
      <c r="B10" s="360" t="s">
        <v>456</v>
      </c>
      <c r="C10" s="361" t="s">
        <v>456</v>
      </c>
      <c r="D10" s="343">
        <v>50000.0</v>
      </c>
      <c r="E10" s="343">
        <v>50000.0</v>
      </c>
      <c r="F10" s="362">
        <v>0.85</v>
      </c>
      <c r="G10" s="346" t="str">
        <f t="shared" si="1"/>
        <v>Loading...</v>
      </c>
      <c r="H10" s="347" t="str">
        <f t="shared" si="2"/>
        <v>Loading...</v>
      </c>
      <c r="I10" s="355" t="s">
        <v>451</v>
      </c>
      <c r="J10" s="356"/>
    </row>
    <row r="11" ht="15.75" customHeight="1">
      <c r="A11" s="357" t="s">
        <v>457</v>
      </c>
      <c r="B11" s="341" t="s">
        <v>458</v>
      </c>
      <c r="C11" s="358" t="s">
        <v>459</v>
      </c>
      <c r="D11" s="363">
        <v>12927.0</v>
      </c>
      <c r="E11" s="364">
        <v>16527.0</v>
      </c>
      <c r="F11" s="362">
        <v>0.8</v>
      </c>
      <c r="G11" s="346" t="str">
        <f t="shared" si="1"/>
        <v>Loading...</v>
      </c>
      <c r="H11" s="347" t="str">
        <f t="shared" si="2"/>
        <v>Loading...</v>
      </c>
      <c r="I11" s="355" t="s">
        <v>451</v>
      </c>
      <c r="J11" s="356"/>
      <c r="K11" s="180"/>
      <c r="L11" s="180"/>
      <c r="M11" s="180"/>
      <c r="N11" s="180"/>
      <c r="O11" s="180"/>
      <c r="P11" s="180"/>
      <c r="Q11" s="180"/>
      <c r="R11" s="180"/>
      <c r="S11" s="180"/>
      <c r="T11" s="180"/>
      <c r="U11" s="180"/>
      <c r="V11" s="180"/>
      <c r="W11" s="180"/>
    </row>
    <row r="12" ht="15.75" customHeight="1">
      <c r="A12" s="357" t="s">
        <v>460</v>
      </c>
      <c r="B12" s="365" t="s">
        <v>461</v>
      </c>
      <c r="C12" s="366" t="s">
        <v>462</v>
      </c>
      <c r="D12" s="343">
        <v>162421.0</v>
      </c>
      <c r="E12" s="367">
        <v>165923.0</v>
      </c>
      <c r="F12" s="362">
        <v>0.11</v>
      </c>
      <c r="G12" s="346" t="str">
        <f t="shared" si="1"/>
        <v>Loading...</v>
      </c>
      <c r="H12" s="347" t="str">
        <f t="shared" si="2"/>
        <v>Loading...</v>
      </c>
      <c r="I12" s="355" t="s">
        <v>451</v>
      </c>
      <c r="J12" s="349"/>
      <c r="K12" s="180"/>
      <c r="L12" s="180"/>
      <c r="M12" s="180"/>
      <c r="N12" s="180"/>
      <c r="O12" s="180"/>
      <c r="P12" s="180"/>
      <c r="Q12" s="180"/>
      <c r="R12" s="180"/>
      <c r="S12" s="180"/>
      <c r="T12" s="180"/>
      <c r="U12" s="180"/>
      <c r="V12" s="180"/>
      <c r="W12" s="180"/>
    </row>
    <row r="13" ht="15.75" customHeight="1">
      <c r="A13" s="340" t="s">
        <v>463</v>
      </c>
      <c r="B13" s="365" t="s">
        <v>464</v>
      </c>
      <c r="C13" s="368" t="s">
        <v>465</v>
      </c>
      <c r="D13" s="359">
        <v>143.61</v>
      </c>
      <c r="E13" s="369">
        <v>221.8</v>
      </c>
      <c r="F13" s="362">
        <v>175.0</v>
      </c>
      <c r="G13" s="346" t="str">
        <f t="shared" si="1"/>
        <v>Loading...</v>
      </c>
      <c r="H13" s="347" t="str">
        <f t="shared" si="2"/>
        <v>Loading...</v>
      </c>
      <c r="I13" s="348" t="s">
        <v>447</v>
      </c>
      <c r="J13" s="349"/>
      <c r="K13" s="180"/>
      <c r="L13" s="180"/>
      <c r="M13" s="180"/>
      <c r="N13" s="180"/>
      <c r="O13" s="180"/>
      <c r="P13" s="180"/>
      <c r="Q13" s="180"/>
      <c r="R13" s="180"/>
      <c r="S13" s="180"/>
      <c r="T13" s="180"/>
      <c r="U13" s="180"/>
      <c r="V13" s="180"/>
      <c r="W13" s="180"/>
    </row>
    <row r="14" ht="15.75" customHeight="1">
      <c r="A14" s="370" t="s">
        <v>466</v>
      </c>
      <c r="B14" s="371" t="s">
        <v>467</v>
      </c>
      <c r="C14" s="372" t="s">
        <v>468</v>
      </c>
      <c r="D14" s="373">
        <v>35.0</v>
      </c>
      <c r="E14" s="364">
        <v>35.0</v>
      </c>
      <c r="F14" s="374">
        <v>150.47</v>
      </c>
      <c r="G14" s="346" t="str">
        <f t="shared" si="1"/>
        <v>Loading...</v>
      </c>
      <c r="H14" s="347" t="str">
        <f t="shared" si="2"/>
        <v>Loading...</v>
      </c>
      <c r="I14" s="355" t="s">
        <v>451</v>
      </c>
      <c r="J14" s="375"/>
      <c r="K14" s="180"/>
      <c r="L14" s="180"/>
      <c r="M14" s="180"/>
      <c r="N14" s="180"/>
      <c r="O14" s="180"/>
      <c r="P14" s="180"/>
      <c r="Q14" s="180"/>
      <c r="R14" s="180"/>
      <c r="S14" s="180"/>
      <c r="T14" s="180"/>
      <c r="U14" s="180"/>
      <c r="V14" s="180"/>
      <c r="W14" s="180"/>
    </row>
    <row r="15" ht="15.75" customHeight="1">
      <c r="D15" s="53"/>
      <c r="E15" s="53" t="s">
        <v>469</v>
      </c>
      <c r="F15" s="53" t="s">
        <v>469</v>
      </c>
      <c r="H15" s="25" t="str">
        <f>SUM(H7:H13)</f>
        <v>Loading...</v>
      </c>
      <c r="I15" s="108"/>
    </row>
    <row r="16" ht="15.75" customHeight="1">
      <c r="A16" s="4"/>
      <c r="B16" s="4"/>
      <c r="I16" s="108"/>
      <c r="J16" s="39" t="s">
        <v>470</v>
      </c>
    </row>
    <row r="17" ht="15.75" customHeight="1">
      <c r="A17" s="4"/>
      <c r="G17" s="38"/>
      <c r="H17" s="376"/>
      <c r="I17" s="108"/>
    </row>
    <row r="18" ht="15.75" customHeight="1">
      <c r="A18" s="4"/>
      <c r="G18" s="38"/>
      <c r="H18" s="376"/>
      <c r="I18" s="108"/>
    </row>
    <row r="19" ht="15.75" customHeight="1">
      <c r="A19" s="4"/>
      <c r="G19" s="38"/>
      <c r="H19" s="376"/>
      <c r="I19" s="108"/>
    </row>
    <row r="20" ht="15.75" customHeight="1">
      <c r="A20" s="4"/>
      <c r="G20" s="38"/>
      <c r="H20" s="376"/>
      <c r="I20" s="108"/>
    </row>
    <row r="21" ht="15.75" customHeight="1">
      <c r="A21" s="4"/>
      <c r="G21" s="38"/>
      <c r="H21" s="376"/>
      <c r="I21" s="108"/>
    </row>
    <row r="22" ht="15.75" customHeight="1">
      <c r="A22" s="4"/>
      <c r="G22" s="38"/>
      <c r="H22" s="376"/>
      <c r="I22" s="108"/>
    </row>
    <row r="23" ht="15.75" customHeight="1">
      <c r="A23" s="4"/>
      <c r="G23" s="38"/>
      <c r="H23" s="376"/>
      <c r="I23" s="108"/>
    </row>
    <row r="24" ht="15.75" customHeight="1">
      <c r="A24" s="4"/>
      <c r="G24" s="38"/>
      <c r="H24" s="376"/>
      <c r="I24" s="108"/>
    </row>
    <row r="25" ht="15.75" customHeight="1">
      <c r="A25" s="4"/>
      <c r="G25" s="38"/>
      <c r="H25" s="376"/>
      <c r="I25" s="108"/>
    </row>
    <row r="26" ht="15.75" customHeight="1">
      <c r="A26" s="4"/>
      <c r="G26" s="38"/>
      <c r="H26" s="376"/>
      <c r="I26" s="108"/>
    </row>
    <row r="27" ht="15.75" customHeight="1">
      <c r="A27" s="4"/>
      <c r="G27" s="38"/>
      <c r="H27" s="376"/>
      <c r="I27" s="108"/>
    </row>
    <row r="28" ht="15.75" customHeight="1">
      <c r="A28" s="4"/>
      <c r="G28" s="38"/>
      <c r="H28" s="376"/>
      <c r="I28" s="108"/>
    </row>
    <row r="29" ht="15.75" customHeight="1">
      <c r="A29" s="4"/>
      <c r="G29" s="38"/>
      <c r="H29" s="376"/>
      <c r="I29" s="108"/>
    </row>
    <row r="30" ht="15.75" customHeight="1">
      <c r="A30" s="4"/>
      <c r="G30" s="38"/>
      <c r="H30" s="376"/>
      <c r="I30" s="108"/>
    </row>
    <row r="31" ht="15.75" customHeight="1">
      <c r="A31" s="4"/>
      <c r="G31" s="38"/>
      <c r="H31" s="376"/>
      <c r="I31" s="108"/>
    </row>
    <row r="32" ht="15.75" customHeight="1">
      <c r="A32" s="4"/>
      <c r="G32" s="38"/>
      <c r="H32" s="376"/>
      <c r="I32" s="108"/>
    </row>
    <row r="33" ht="15.75" customHeight="1">
      <c r="A33" s="4"/>
      <c r="G33" s="38"/>
      <c r="H33" s="376"/>
      <c r="I33" s="108"/>
    </row>
    <row r="34" ht="15.75" customHeight="1">
      <c r="A34" s="4"/>
      <c r="G34" s="38"/>
      <c r="H34" s="376"/>
      <c r="I34" s="108"/>
    </row>
    <row r="35" ht="15.75" customHeight="1">
      <c r="A35" s="4"/>
      <c r="G35" s="38"/>
      <c r="H35" s="376"/>
      <c r="I35" s="108"/>
    </row>
    <row r="36" ht="15.75" customHeight="1">
      <c r="A36" s="4"/>
      <c r="G36" s="38"/>
      <c r="H36" s="376"/>
      <c r="I36" s="108"/>
    </row>
    <row r="37" ht="15.75" customHeight="1">
      <c r="A37" s="4"/>
      <c r="G37" s="38"/>
      <c r="H37" s="376"/>
      <c r="I37" s="108"/>
    </row>
    <row r="38" ht="15.75" customHeight="1">
      <c r="A38" s="4"/>
      <c r="G38" s="38"/>
      <c r="H38" s="376"/>
      <c r="I38" s="108"/>
    </row>
    <row r="39" ht="15.75" customHeight="1">
      <c r="A39" s="4"/>
      <c r="G39" s="38"/>
      <c r="H39" s="376"/>
      <c r="I39" s="108"/>
    </row>
    <row r="40" ht="15.75" customHeight="1">
      <c r="A40" s="4"/>
      <c r="G40" s="38"/>
      <c r="H40" s="376"/>
      <c r="I40" s="108"/>
    </row>
    <row r="41" ht="15.75" customHeight="1">
      <c r="A41" s="4"/>
      <c r="G41" s="38"/>
      <c r="H41" s="376"/>
      <c r="I41" s="108"/>
    </row>
    <row r="42" ht="15.75" customHeight="1">
      <c r="A42" s="4"/>
      <c r="G42" s="38"/>
      <c r="H42" s="376"/>
      <c r="I42" s="108"/>
    </row>
    <row r="43" ht="15.75" customHeight="1">
      <c r="A43" s="4"/>
      <c r="G43" s="38"/>
      <c r="H43" s="376"/>
      <c r="I43" s="108"/>
    </row>
    <row r="44" ht="15.75" customHeight="1">
      <c r="A44" s="4"/>
      <c r="G44" s="38"/>
      <c r="H44" s="376"/>
      <c r="I44" s="108"/>
    </row>
    <row r="45" ht="15.75" customHeight="1">
      <c r="A45" s="4"/>
      <c r="G45" s="38"/>
      <c r="H45" s="376"/>
      <c r="I45" s="108"/>
    </row>
    <row r="46" ht="15.75" customHeight="1">
      <c r="A46" s="4"/>
      <c r="G46" s="38"/>
      <c r="H46" s="376"/>
      <c r="I46" s="108"/>
    </row>
    <row r="47" ht="15.75" customHeight="1">
      <c r="A47" s="4"/>
      <c r="G47" s="38"/>
      <c r="H47" s="376"/>
      <c r="I47" s="108"/>
    </row>
    <row r="48" ht="15.75" customHeight="1">
      <c r="A48" s="4"/>
      <c r="G48" s="38"/>
      <c r="H48" s="376"/>
      <c r="I48" s="108"/>
    </row>
    <row r="49" ht="15.75" customHeight="1">
      <c r="A49" s="4"/>
      <c r="G49" s="38"/>
      <c r="H49" s="376"/>
      <c r="I49" s="108"/>
    </row>
    <row r="50" ht="15.75" customHeight="1">
      <c r="A50" s="4"/>
      <c r="G50" s="38"/>
      <c r="H50" s="376"/>
      <c r="I50" s="108"/>
    </row>
    <row r="51" ht="15.75" customHeight="1">
      <c r="A51" s="4"/>
      <c r="G51" s="38"/>
      <c r="H51" s="376"/>
      <c r="I51" s="108"/>
    </row>
    <row r="52" ht="15.75" customHeight="1">
      <c r="A52" s="4"/>
      <c r="G52" s="38"/>
      <c r="H52" s="376"/>
      <c r="I52" s="108"/>
    </row>
    <row r="53" ht="15.75" customHeight="1">
      <c r="A53" s="4"/>
      <c r="G53" s="38"/>
      <c r="H53" s="376"/>
      <c r="I53" s="108"/>
    </row>
    <row r="54" ht="15.75" customHeight="1">
      <c r="A54" s="4"/>
      <c r="G54" s="38"/>
      <c r="H54" s="376"/>
      <c r="I54" s="108"/>
    </row>
    <row r="55" ht="15.75" customHeight="1">
      <c r="A55" s="4"/>
      <c r="G55" s="38"/>
      <c r="H55" s="376"/>
      <c r="I55" s="108"/>
    </row>
    <row r="56" ht="15.75" customHeight="1">
      <c r="A56" s="4"/>
      <c r="G56" s="38"/>
      <c r="H56" s="376"/>
      <c r="I56" s="108"/>
    </row>
    <row r="57" ht="15.75" customHeight="1">
      <c r="A57" s="4"/>
      <c r="G57" s="38"/>
      <c r="H57" s="376"/>
      <c r="I57" s="108"/>
    </row>
    <row r="58" ht="15.75" customHeight="1">
      <c r="A58" s="4"/>
      <c r="G58" s="38"/>
      <c r="H58" s="376"/>
      <c r="I58" s="108"/>
    </row>
    <row r="59" ht="15.75" customHeight="1">
      <c r="A59" s="4"/>
      <c r="G59" s="38"/>
      <c r="H59" s="376"/>
      <c r="I59" s="108"/>
    </row>
    <row r="60" ht="15.75" customHeight="1">
      <c r="A60" s="4"/>
      <c r="G60" s="38"/>
      <c r="H60" s="376"/>
      <c r="I60" s="108"/>
    </row>
    <row r="61" ht="15.75" customHeight="1">
      <c r="A61" s="4"/>
      <c r="G61" s="38"/>
      <c r="H61" s="376"/>
      <c r="I61" s="108"/>
    </row>
    <row r="62" ht="15.75" customHeight="1">
      <c r="A62" s="4"/>
      <c r="G62" s="38"/>
      <c r="H62" s="376"/>
      <c r="I62" s="108"/>
    </row>
    <row r="63" ht="15.75" customHeight="1">
      <c r="A63" s="4"/>
      <c r="G63" s="38"/>
      <c r="H63" s="376"/>
      <c r="I63" s="108"/>
    </row>
    <row r="64" ht="15.75" customHeight="1">
      <c r="A64" s="4"/>
      <c r="G64" s="38"/>
      <c r="H64" s="376"/>
      <c r="I64" s="108"/>
    </row>
    <row r="65" ht="15.75" customHeight="1">
      <c r="A65" s="4"/>
      <c r="G65" s="38"/>
      <c r="H65" s="376"/>
      <c r="I65" s="108"/>
    </row>
    <row r="66" ht="15.75" customHeight="1">
      <c r="A66" s="4"/>
      <c r="G66" s="38"/>
      <c r="H66" s="376"/>
      <c r="I66" s="108"/>
    </row>
    <row r="67" ht="15.75" customHeight="1">
      <c r="A67" s="4"/>
      <c r="G67" s="38"/>
      <c r="H67" s="376"/>
      <c r="I67" s="108"/>
    </row>
    <row r="68" ht="15.75" customHeight="1">
      <c r="A68" s="4"/>
      <c r="G68" s="38"/>
      <c r="H68" s="376"/>
      <c r="I68" s="108"/>
    </row>
    <row r="69" ht="15.75" customHeight="1">
      <c r="A69" s="4"/>
      <c r="G69" s="38"/>
      <c r="H69" s="376"/>
      <c r="I69" s="108"/>
    </row>
    <row r="70" ht="15.75" customHeight="1">
      <c r="A70" s="4"/>
      <c r="G70" s="38"/>
      <c r="H70" s="376"/>
      <c r="I70" s="108"/>
    </row>
    <row r="71" ht="15.75" customHeight="1">
      <c r="A71" s="4"/>
      <c r="G71" s="38"/>
      <c r="H71" s="376"/>
      <c r="I71" s="108"/>
    </row>
    <row r="72" ht="15.75" customHeight="1">
      <c r="A72" s="4"/>
      <c r="G72" s="38"/>
      <c r="H72" s="376"/>
      <c r="I72" s="108"/>
    </row>
    <row r="73" ht="15.75" customHeight="1">
      <c r="A73" s="4"/>
      <c r="G73" s="38"/>
      <c r="H73" s="376"/>
      <c r="I73" s="108"/>
    </row>
    <row r="74" ht="15.75" customHeight="1">
      <c r="A74" s="4"/>
      <c r="G74" s="38"/>
      <c r="H74" s="376"/>
      <c r="I74" s="108"/>
    </row>
    <row r="75" ht="15.75" customHeight="1">
      <c r="A75" s="4"/>
      <c r="G75" s="38"/>
      <c r="H75" s="376"/>
      <c r="I75" s="108"/>
    </row>
    <row r="76" ht="15.75" customHeight="1">
      <c r="A76" s="4"/>
      <c r="G76" s="38"/>
      <c r="H76" s="376"/>
      <c r="I76" s="108"/>
    </row>
    <row r="77" ht="15.75" customHeight="1">
      <c r="I77" s="108"/>
    </row>
    <row r="78" ht="15.75" customHeight="1">
      <c r="I78" s="108"/>
    </row>
    <row r="79" ht="15.75" customHeight="1">
      <c r="I79" s="108"/>
    </row>
    <row r="80" ht="15.75" customHeight="1">
      <c r="I80" s="108"/>
    </row>
    <row r="81" ht="15.75" customHeight="1">
      <c r="I81" s="108"/>
    </row>
    <row r="82" ht="15.75" customHeight="1">
      <c r="I82" s="108"/>
    </row>
    <row r="83" ht="15.75" customHeight="1">
      <c r="I83" s="108"/>
    </row>
    <row r="84" ht="15.75" customHeight="1">
      <c r="I84" s="108"/>
    </row>
    <row r="85" ht="15.75" customHeight="1">
      <c r="I85" s="108"/>
    </row>
    <row r="86" ht="15.75" customHeight="1">
      <c r="I86" s="108"/>
    </row>
    <row r="87" ht="15.75" customHeight="1">
      <c r="I87" s="108"/>
    </row>
    <row r="88" ht="15.75" customHeight="1">
      <c r="I88" s="108"/>
    </row>
    <row r="89" ht="15.75" customHeight="1">
      <c r="I89" s="108"/>
    </row>
    <row r="90" ht="15.75" customHeight="1">
      <c r="I90" s="108"/>
    </row>
    <row r="91" ht="15.75" customHeight="1">
      <c r="I91" s="108"/>
    </row>
    <row r="92" ht="15.75" customHeight="1">
      <c r="I92" s="108"/>
    </row>
    <row r="93" ht="15.75" customHeight="1">
      <c r="I93" s="108"/>
    </row>
    <row r="94" ht="15.75" customHeight="1">
      <c r="I94" s="108"/>
    </row>
    <row r="95" ht="15.75" customHeight="1">
      <c r="I95" s="108"/>
    </row>
    <row r="96" ht="15.75" customHeight="1">
      <c r="I96" s="108"/>
    </row>
    <row r="97" ht="15.75" customHeight="1">
      <c r="I97" s="108"/>
    </row>
    <row r="98" ht="15.75" customHeight="1">
      <c r="I98" s="108"/>
    </row>
    <row r="99" ht="15.75" customHeight="1">
      <c r="I99" s="108"/>
    </row>
    <row r="100" ht="15.75" customHeight="1">
      <c r="I100" s="108"/>
    </row>
    <row r="101" ht="15.75" customHeight="1">
      <c r="I101" s="108"/>
    </row>
    <row r="102" ht="15.75" customHeight="1">
      <c r="I102" s="108"/>
    </row>
    <row r="103" ht="15.75" customHeight="1">
      <c r="I103" s="108"/>
    </row>
    <row r="104" ht="15.75" customHeight="1">
      <c r="I104" s="108"/>
    </row>
    <row r="105" ht="15.75" customHeight="1">
      <c r="I105" s="108"/>
    </row>
    <row r="106" ht="15.75" customHeight="1">
      <c r="I106" s="108"/>
    </row>
    <row r="107" ht="15.75" customHeight="1">
      <c r="I107" s="108"/>
    </row>
    <row r="108" ht="15.75" customHeight="1">
      <c r="I108" s="108"/>
    </row>
    <row r="109" ht="15.75" customHeight="1">
      <c r="I109" s="108"/>
    </row>
    <row r="110" ht="15.75" customHeight="1">
      <c r="I110" s="108"/>
    </row>
    <row r="111" ht="15.75" customHeight="1">
      <c r="I111" s="108"/>
    </row>
    <row r="112" ht="15.75" customHeight="1">
      <c r="I112" s="108"/>
    </row>
    <row r="113" ht="15.75" customHeight="1">
      <c r="I113" s="108"/>
    </row>
    <row r="114" ht="15.75" customHeight="1">
      <c r="I114" s="108"/>
    </row>
    <row r="115" ht="15.75" customHeight="1">
      <c r="I115" s="108"/>
    </row>
    <row r="116" ht="15.75" customHeight="1">
      <c r="I116" s="108"/>
    </row>
    <row r="117" ht="15.75" customHeight="1">
      <c r="I117" s="108"/>
    </row>
    <row r="118" ht="15.75" customHeight="1">
      <c r="I118" s="108"/>
    </row>
    <row r="119" ht="15.75" customHeight="1">
      <c r="I119" s="108"/>
    </row>
    <row r="120" ht="15.75" customHeight="1">
      <c r="I120" s="108"/>
    </row>
    <row r="121" ht="15.75" customHeight="1">
      <c r="I121" s="108"/>
    </row>
    <row r="122" ht="15.75" customHeight="1">
      <c r="I122" s="108"/>
    </row>
    <row r="123" ht="15.75" customHeight="1">
      <c r="I123" s="108"/>
    </row>
    <row r="124" ht="15.75" customHeight="1">
      <c r="I124" s="108"/>
    </row>
    <row r="125" ht="15.75" customHeight="1">
      <c r="I125" s="108"/>
    </row>
    <row r="126" ht="15.75" customHeight="1">
      <c r="I126" s="108"/>
    </row>
    <row r="127" ht="15.75" customHeight="1">
      <c r="I127" s="108"/>
    </row>
    <row r="128" ht="15.75" customHeight="1">
      <c r="I128" s="108"/>
    </row>
    <row r="129" ht="15.75" customHeight="1">
      <c r="I129" s="108"/>
    </row>
    <row r="130" ht="15.75" customHeight="1">
      <c r="I130" s="108"/>
    </row>
    <row r="131" ht="15.75" customHeight="1">
      <c r="I131" s="108"/>
    </row>
    <row r="132" ht="15.75" customHeight="1">
      <c r="I132" s="108"/>
    </row>
    <row r="133" ht="15.75" customHeight="1">
      <c r="I133" s="108"/>
    </row>
    <row r="134" ht="15.75" customHeight="1">
      <c r="I134" s="108"/>
    </row>
    <row r="135" ht="15.75" customHeight="1">
      <c r="I135" s="108"/>
    </row>
    <row r="136" ht="15.75" customHeight="1">
      <c r="I136" s="108"/>
    </row>
    <row r="137" ht="15.75" customHeight="1">
      <c r="I137" s="108"/>
    </row>
    <row r="138" ht="15.75" customHeight="1">
      <c r="I138" s="108"/>
    </row>
    <row r="139" ht="15.75" customHeight="1">
      <c r="I139" s="108"/>
    </row>
    <row r="140" ht="15.75" customHeight="1">
      <c r="I140" s="108"/>
    </row>
    <row r="141" ht="15.75" customHeight="1">
      <c r="I141" s="108"/>
    </row>
    <row r="142" ht="15.75" customHeight="1">
      <c r="I142" s="108"/>
    </row>
    <row r="143" ht="15.75" customHeight="1">
      <c r="I143" s="108"/>
    </row>
    <row r="144" ht="15.75" customHeight="1">
      <c r="I144" s="108"/>
    </row>
    <row r="145" ht="15.75" customHeight="1">
      <c r="I145" s="108"/>
    </row>
    <row r="146" ht="15.75" customHeight="1">
      <c r="I146" s="108"/>
    </row>
    <row r="147" ht="15.75" customHeight="1">
      <c r="I147" s="108"/>
    </row>
    <row r="148" ht="15.75" customHeight="1">
      <c r="I148" s="108"/>
    </row>
    <row r="149" ht="15.75" customHeight="1">
      <c r="I149" s="108"/>
    </row>
    <row r="150" ht="15.75" customHeight="1">
      <c r="I150" s="108"/>
    </row>
    <row r="151" ht="15.75" customHeight="1">
      <c r="I151" s="108"/>
    </row>
    <row r="152" ht="15.75" customHeight="1">
      <c r="I152" s="108"/>
    </row>
    <row r="153" ht="15.75" customHeight="1">
      <c r="I153" s="108"/>
    </row>
    <row r="154" ht="15.75" customHeight="1">
      <c r="I154" s="108"/>
    </row>
    <row r="155" ht="15.75" customHeight="1">
      <c r="I155" s="108"/>
    </row>
    <row r="156" ht="15.75" customHeight="1">
      <c r="I156" s="108"/>
    </row>
    <row r="157" ht="15.75" customHeight="1">
      <c r="I157" s="108"/>
    </row>
    <row r="158" ht="15.75" customHeight="1">
      <c r="I158" s="108"/>
    </row>
    <row r="159" ht="15.75" customHeight="1">
      <c r="I159" s="108"/>
    </row>
    <row r="160" ht="15.75" customHeight="1">
      <c r="I160" s="108"/>
    </row>
    <row r="161" ht="15.75" customHeight="1">
      <c r="I161" s="108"/>
    </row>
    <row r="162" ht="15.75" customHeight="1">
      <c r="I162" s="108"/>
    </row>
    <row r="163" ht="15.75" customHeight="1">
      <c r="I163" s="108"/>
    </row>
    <row r="164" ht="15.75" customHeight="1">
      <c r="I164" s="108"/>
    </row>
    <row r="165" ht="15.75" customHeight="1">
      <c r="I165" s="108"/>
    </row>
    <row r="166" ht="15.75" customHeight="1">
      <c r="I166" s="108"/>
    </row>
    <row r="167" ht="15.75" customHeight="1">
      <c r="I167" s="108"/>
    </row>
    <row r="168" ht="15.75" customHeight="1">
      <c r="I168" s="108"/>
    </row>
    <row r="169" ht="15.75" customHeight="1">
      <c r="I169" s="108"/>
    </row>
    <row r="170" ht="15.75" customHeight="1">
      <c r="I170" s="108"/>
    </row>
    <row r="171" ht="15.75" customHeight="1">
      <c r="I171" s="108"/>
    </row>
    <row r="172" ht="15.75" customHeight="1">
      <c r="I172" s="108"/>
    </row>
    <row r="173" ht="15.75" customHeight="1">
      <c r="I173" s="108"/>
    </row>
    <row r="174" ht="15.75" customHeight="1">
      <c r="I174" s="108"/>
    </row>
    <row r="175" ht="15.75" customHeight="1">
      <c r="I175" s="108"/>
    </row>
    <row r="176" ht="15.75" customHeight="1">
      <c r="I176" s="108"/>
    </row>
    <row r="177" ht="15.75" customHeight="1">
      <c r="I177" s="108"/>
    </row>
    <row r="178" ht="15.75" customHeight="1">
      <c r="I178" s="108"/>
    </row>
    <row r="179" ht="15.75" customHeight="1">
      <c r="I179" s="108"/>
    </row>
    <row r="180" ht="15.75" customHeight="1">
      <c r="I180" s="108"/>
    </row>
    <row r="181" ht="15.75" customHeight="1">
      <c r="I181" s="108"/>
    </row>
    <row r="182" ht="15.75" customHeight="1">
      <c r="I182" s="108"/>
    </row>
    <row r="183" ht="15.75" customHeight="1">
      <c r="I183" s="108"/>
    </row>
    <row r="184" ht="15.75" customHeight="1">
      <c r="I184" s="108"/>
    </row>
    <row r="185" ht="15.75" customHeight="1">
      <c r="I185" s="108"/>
    </row>
    <row r="186" ht="15.75" customHeight="1">
      <c r="I186" s="108"/>
    </row>
    <row r="187" ht="15.75" customHeight="1">
      <c r="I187" s="108"/>
    </row>
    <row r="188" ht="15.75" customHeight="1">
      <c r="I188" s="108"/>
    </row>
    <row r="189" ht="15.75" customHeight="1">
      <c r="I189" s="108"/>
    </row>
    <row r="190" ht="15.75" customHeight="1">
      <c r="I190" s="108"/>
    </row>
    <row r="191" ht="15.75" customHeight="1">
      <c r="I191" s="108"/>
    </row>
    <row r="192" ht="15.75" customHeight="1">
      <c r="I192" s="108"/>
    </row>
    <row r="193" ht="15.75" customHeight="1">
      <c r="I193" s="108"/>
    </row>
    <row r="194" ht="15.75" customHeight="1">
      <c r="I194" s="108"/>
    </row>
    <row r="195" ht="15.75" customHeight="1">
      <c r="I195" s="108"/>
    </row>
    <row r="196" ht="15.75" customHeight="1">
      <c r="I196" s="108"/>
    </row>
    <row r="197" ht="15.75" customHeight="1">
      <c r="I197" s="108"/>
    </row>
    <row r="198" ht="15.75" customHeight="1">
      <c r="I198" s="108"/>
    </row>
    <row r="199" ht="15.75" customHeight="1">
      <c r="I199" s="108"/>
    </row>
    <row r="200" ht="15.75" customHeight="1">
      <c r="I200" s="108"/>
    </row>
    <row r="201" ht="15.75" customHeight="1">
      <c r="I201" s="108"/>
    </row>
    <row r="202" ht="15.75" customHeight="1">
      <c r="I202" s="108"/>
    </row>
    <row r="203" ht="15.75" customHeight="1">
      <c r="I203" s="108"/>
    </row>
    <row r="204" ht="15.75" customHeight="1">
      <c r="I204" s="108"/>
    </row>
    <row r="205" ht="15.75" customHeight="1">
      <c r="I205" s="108"/>
    </row>
    <row r="206" ht="15.75" customHeight="1">
      <c r="I206" s="108"/>
    </row>
    <row r="207" ht="15.75" customHeight="1">
      <c r="I207" s="108"/>
    </row>
    <row r="208" ht="15.75" customHeight="1">
      <c r="I208" s="108"/>
    </row>
    <row r="209" ht="15.75" customHeight="1">
      <c r="I209" s="108"/>
    </row>
    <row r="210" ht="15.75" customHeight="1">
      <c r="I210" s="108"/>
    </row>
    <row r="211" ht="15.75" customHeight="1">
      <c r="I211" s="108"/>
    </row>
    <row r="212" ht="15.75" customHeight="1">
      <c r="I212" s="108"/>
    </row>
    <row r="213" ht="15.75" customHeight="1">
      <c r="I213" s="108"/>
    </row>
    <row r="214" ht="15.75" customHeight="1">
      <c r="I214" s="108"/>
    </row>
    <row r="215" ht="15.75" customHeight="1">
      <c r="I215" s="108"/>
    </row>
    <row r="216" ht="15.75" customHeight="1">
      <c r="I216" s="108"/>
    </row>
    <row r="217" ht="15.75" customHeight="1">
      <c r="I217" s="108"/>
    </row>
    <row r="218" ht="15.75" customHeight="1">
      <c r="I218" s="108"/>
    </row>
    <row r="219" ht="15.75" customHeight="1">
      <c r="I219" s="108"/>
    </row>
    <row r="220" ht="15.75" customHeight="1">
      <c r="I220" s="108"/>
    </row>
    <row r="221" ht="15.75" customHeight="1">
      <c r="I221" s="108"/>
    </row>
    <row r="222" ht="15.75" customHeight="1">
      <c r="I222" s="108"/>
    </row>
    <row r="223" ht="15.75" customHeight="1">
      <c r="I223" s="108"/>
    </row>
    <row r="224" ht="15.75" customHeight="1">
      <c r="I224" s="108"/>
    </row>
    <row r="225" ht="15.75" customHeight="1">
      <c r="I225" s="108"/>
    </row>
    <row r="226" ht="15.75" customHeight="1">
      <c r="I226" s="108"/>
    </row>
    <row r="227" ht="15.75" customHeight="1">
      <c r="I227" s="108"/>
    </row>
    <row r="228" ht="15.75" customHeight="1">
      <c r="I228" s="108"/>
    </row>
    <row r="229" ht="15.75" customHeight="1">
      <c r="I229" s="108"/>
    </row>
    <row r="230" ht="15.75" customHeight="1">
      <c r="I230" s="108"/>
    </row>
    <row r="231" ht="15.75" customHeight="1">
      <c r="I231" s="108"/>
    </row>
    <row r="232" ht="15.75" customHeight="1">
      <c r="I232" s="108"/>
    </row>
    <row r="233" ht="15.75" customHeight="1">
      <c r="I233" s="108"/>
    </row>
    <row r="234" ht="15.75" customHeight="1">
      <c r="I234" s="108"/>
    </row>
    <row r="235" ht="15.75" customHeight="1">
      <c r="I235" s="108"/>
    </row>
    <row r="236" ht="15.75" customHeight="1">
      <c r="I236" s="108"/>
    </row>
    <row r="237" ht="15.75" customHeight="1">
      <c r="I237" s="108"/>
    </row>
    <row r="238" ht="15.75" customHeight="1">
      <c r="I238" s="108"/>
    </row>
    <row r="239" ht="15.75" customHeight="1">
      <c r="I239" s="108"/>
    </row>
    <row r="240" ht="15.75" customHeight="1">
      <c r="I240" s="108"/>
    </row>
    <row r="241" ht="15.75" customHeight="1">
      <c r="I241" s="108"/>
    </row>
    <row r="242" ht="15.75" customHeight="1">
      <c r="I242" s="108"/>
    </row>
    <row r="243" ht="15.75" customHeight="1">
      <c r="I243" s="108"/>
    </row>
    <row r="244" ht="15.75" customHeight="1">
      <c r="I244" s="108"/>
    </row>
    <row r="245" ht="15.75" customHeight="1">
      <c r="I245" s="108"/>
    </row>
    <row r="246" ht="15.75" customHeight="1">
      <c r="I246" s="108"/>
    </row>
    <row r="247" ht="15.75" customHeight="1">
      <c r="I247" s="108"/>
    </row>
    <row r="248" ht="15.75" customHeight="1">
      <c r="I248" s="108"/>
    </row>
    <row r="249" ht="15.75" customHeight="1">
      <c r="I249" s="108"/>
    </row>
    <row r="250" ht="15.75" customHeight="1">
      <c r="I250" s="108"/>
    </row>
    <row r="251" ht="15.75" customHeight="1">
      <c r="I251" s="108"/>
    </row>
    <row r="252" ht="15.75" customHeight="1">
      <c r="I252" s="108"/>
    </row>
    <row r="253" ht="15.75" customHeight="1">
      <c r="I253" s="108"/>
    </row>
    <row r="254" ht="15.75" customHeight="1">
      <c r="I254" s="108"/>
    </row>
    <row r="255" ht="15.75" customHeight="1">
      <c r="I255" s="108"/>
    </row>
    <row r="256" ht="15.75" customHeight="1">
      <c r="I256" s="108"/>
    </row>
    <row r="257" ht="15.75" customHeight="1">
      <c r="I257" s="108"/>
    </row>
    <row r="258" ht="15.75" customHeight="1">
      <c r="I258" s="108"/>
    </row>
    <row r="259" ht="15.75" customHeight="1">
      <c r="I259" s="108"/>
    </row>
    <row r="260" ht="15.75" customHeight="1">
      <c r="I260" s="108"/>
    </row>
    <row r="261" ht="15.75" customHeight="1">
      <c r="I261" s="108"/>
    </row>
    <row r="262" ht="15.75" customHeight="1">
      <c r="I262" s="108"/>
    </row>
    <row r="263" ht="15.75" customHeight="1">
      <c r="I263" s="108"/>
    </row>
    <row r="264" ht="15.75" customHeight="1">
      <c r="I264" s="108"/>
    </row>
    <row r="265" ht="15.75" customHeight="1">
      <c r="I265" s="108"/>
    </row>
    <row r="266" ht="15.75" customHeight="1">
      <c r="I266" s="108"/>
    </row>
    <row r="267" ht="15.75" customHeight="1">
      <c r="I267" s="108"/>
    </row>
    <row r="268" ht="15.75" customHeight="1">
      <c r="I268" s="108"/>
    </row>
    <row r="269" ht="15.75" customHeight="1">
      <c r="I269" s="108"/>
    </row>
    <row r="270" ht="15.75" customHeight="1">
      <c r="I270" s="108"/>
    </row>
    <row r="271" ht="15.75" customHeight="1">
      <c r="I271" s="108"/>
    </row>
    <row r="272" ht="15.75" customHeight="1">
      <c r="I272" s="108"/>
    </row>
    <row r="273" ht="15.75" customHeight="1">
      <c r="I273" s="108"/>
    </row>
    <row r="274" ht="15.75" customHeight="1">
      <c r="I274" s="108"/>
    </row>
    <row r="275" ht="15.75" customHeight="1">
      <c r="I275" s="108"/>
    </row>
    <row r="276" ht="15.75" customHeight="1">
      <c r="I276" s="108"/>
    </row>
    <row r="277" ht="15.75" customHeight="1">
      <c r="I277" s="108"/>
    </row>
    <row r="278" ht="15.75" customHeight="1">
      <c r="I278" s="108"/>
    </row>
    <row r="279" ht="15.75" customHeight="1">
      <c r="I279" s="108"/>
    </row>
    <row r="280" ht="15.75" customHeight="1">
      <c r="I280" s="108"/>
    </row>
    <row r="281" ht="15.75" customHeight="1">
      <c r="I281" s="108"/>
    </row>
    <row r="282" ht="15.75" customHeight="1">
      <c r="I282" s="108"/>
    </row>
    <row r="283" ht="15.75" customHeight="1">
      <c r="I283" s="108"/>
    </row>
    <row r="284" ht="15.75" customHeight="1">
      <c r="I284" s="108"/>
    </row>
    <row r="285" ht="15.75" customHeight="1">
      <c r="I285" s="108"/>
    </row>
    <row r="286" ht="15.75" customHeight="1">
      <c r="I286" s="108"/>
    </row>
    <row r="287" ht="15.75" customHeight="1">
      <c r="I287" s="108"/>
    </row>
    <row r="288" ht="15.75" customHeight="1">
      <c r="I288" s="108"/>
    </row>
    <row r="289" ht="15.75" customHeight="1">
      <c r="I289" s="108"/>
    </row>
    <row r="290" ht="15.75" customHeight="1">
      <c r="I290" s="108"/>
    </row>
    <row r="291" ht="15.75" customHeight="1">
      <c r="I291" s="108"/>
    </row>
    <row r="292" ht="15.75" customHeight="1">
      <c r="I292" s="108"/>
    </row>
    <row r="293" ht="15.75" customHeight="1">
      <c r="I293" s="108"/>
    </row>
    <row r="294" ht="15.75" customHeight="1">
      <c r="I294" s="108"/>
    </row>
    <row r="295" ht="15.75" customHeight="1">
      <c r="I295" s="108"/>
    </row>
    <row r="296" ht="15.75" customHeight="1">
      <c r="I296" s="108"/>
    </row>
    <row r="297" ht="15.75" customHeight="1">
      <c r="I297" s="108"/>
    </row>
    <row r="298" ht="15.75" customHeight="1">
      <c r="I298" s="108"/>
    </row>
    <row r="299" ht="15.75" customHeight="1">
      <c r="I299" s="108"/>
    </row>
    <row r="300" ht="15.75" customHeight="1">
      <c r="I300" s="108"/>
    </row>
    <row r="301" ht="15.75" customHeight="1">
      <c r="I301" s="108"/>
    </row>
    <row r="302" ht="15.75" customHeight="1">
      <c r="I302" s="108"/>
    </row>
    <row r="303" ht="15.75" customHeight="1">
      <c r="I303" s="108"/>
    </row>
    <row r="304" ht="15.75" customHeight="1">
      <c r="I304" s="108"/>
    </row>
    <row r="305" ht="15.75" customHeight="1">
      <c r="I305" s="108"/>
    </row>
    <row r="306" ht="15.75" customHeight="1">
      <c r="I306" s="108"/>
    </row>
    <row r="307" ht="15.75" customHeight="1">
      <c r="I307" s="108"/>
    </row>
    <row r="308" ht="15.75" customHeight="1">
      <c r="I308" s="108"/>
    </row>
    <row r="309" ht="15.75" customHeight="1">
      <c r="I309" s="108"/>
    </row>
    <row r="310" ht="15.75" customHeight="1">
      <c r="I310" s="108"/>
    </row>
    <row r="311" ht="15.75" customHeight="1">
      <c r="I311" s="108"/>
    </row>
    <row r="312" ht="15.75" customHeight="1">
      <c r="I312" s="108"/>
    </row>
    <row r="313" ht="15.75" customHeight="1">
      <c r="I313" s="108"/>
    </row>
    <row r="314" ht="15.75" customHeight="1">
      <c r="I314" s="108"/>
    </row>
    <row r="315" ht="15.75" customHeight="1">
      <c r="I315" s="108"/>
    </row>
    <row r="316" ht="15.75" customHeight="1">
      <c r="I316" s="108"/>
    </row>
    <row r="317" ht="15.75" customHeight="1">
      <c r="I317" s="108"/>
    </row>
    <row r="318" ht="15.75" customHeight="1">
      <c r="I318" s="108"/>
    </row>
    <row r="319" ht="15.75" customHeight="1">
      <c r="I319" s="108"/>
    </row>
    <row r="320" ht="15.75" customHeight="1">
      <c r="I320" s="108"/>
    </row>
    <row r="321" ht="15.75" customHeight="1">
      <c r="I321" s="108"/>
    </row>
    <row r="322" ht="15.75" customHeight="1">
      <c r="I322" s="108"/>
    </row>
    <row r="323" ht="15.75" customHeight="1">
      <c r="I323" s="108"/>
    </row>
    <row r="324" ht="15.75" customHeight="1">
      <c r="I324" s="108"/>
    </row>
    <row r="325" ht="15.75" customHeight="1">
      <c r="I325" s="108"/>
    </row>
    <row r="326" ht="15.75" customHeight="1">
      <c r="I326" s="108"/>
    </row>
    <row r="327" ht="15.75" customHeight="1">
      <c r="I327" s="108"/>
    </row>
    <row r="328" ht="15.75" customHeight="1">
      <c r="I328" s="108"/>
    </row>
    <row r="329" ht="15.75" customHeight="1">
      <c r="I329" s="108"/>
    </row>
    <row r="330" ht="15.75" customHeight="1">
      <c r="I330" s="108"/>
    </row>
    <row r="331" ht="15.75" customHeight="1">
      <c r="I331" s="108"/>
    </row>
    <row r="332" ht="15.75" customHeight="1">
      <c r="I332" s="108"/>
    </row>
    <row r="333" ht="15.75" customHeight="1">
      <c r="I333" s="108"/>
    </row>
    <row r="334" ht="15.75" customHeight="1">
      <c r="I334" s="108"/>
    </row>
    <row r="335" ht="15.75" customHeight="1">
      <c r="I335" s="108"/>
    </row>
    <row r="336" ht="15.75" customHeight="1">
      <c r="I336" s="108"/>
    </row>
    <row r="337" ht="15.75" customHeight="1">
      <c r="I337" s="108"/>
    </row>
    <row r="338" ht="15.75" customHeight="1">
      <c r="I338" s="108"/>
    </row>
    <row r="339" ht="15.75" customHeight="1">
      <c r="I339" s="108"/>
    </row>
    <row r="340" ht="15.75" customHeight="1">
      <c r="I340" s="108"/>
    </row>
    <row r="341" ht="15.75" customHeight="1">
      <c r="I341" s="108"/>
    </row>
    <row r="342" ht="15.75" customHeight="1">
      <c r="I342" s="108"/>
    </row>
    <row r="343" ht="15.75" customHeight="1">
      <c r="I343" s="108"/>
    </row>
    <row r="344" ht="15.75" customHeight="1">
      <c r="I344" s="108"/>
    </row>
    <row r="345" ht="15.75" customHeight="1">
      <c r="I345" s="108"/>
    </row>
    <row r="346" ht="15.75" customHeight="1">
      <c r="I346" s="108"/>
    </row>
    <row r="347" ht="15.75" customHeight="1">
      <c r="I347" s="108"/>
    </row>
    <row r="348" ht="15.75" customHeight="1">
      <c r="I348" s="108"/>
    </row>
    <row r="349" ht="15.75" customHeight="1">
      <c r="I349" s="108"/>
    </row>
    <row r="350" ht="15.75" customHeight="1">
      <c r="I350" s="108"/>
    </row>
    <row r="351" ht="15.75" customHeight="1">
      <c r="I351" s="108"/>
    </row>
    <row r="352" ht="15.75" customHeight="1">
      <c r="I352" s="108"/>
    </row>
    <row r="353" ht="15.75" customHeight="1">
      <c r="I353" s="108"/>
    </row>
    <row r="354" ht="15.75" customHeight="1">
      <c r="I354" s="108"/>
    </row>
    <row r="355" ht="15.75" customHeight="1">
      <c r="I355" s="108"/>
    </row>
    <row r="356" ht="15.75" customHeight="1">
      <c r="I356" s="108"/>
    </row>
    <row r="357" ht="15.75" customHeight="1">
      <c r="I357" s="108"/>
    </row>
    <row r="358" ht="15.75" customHeight="1">
      <c r="I358" s="108"/>
    </row>
    <row r="359" ht="15.75" customHeight="1">
      <c r="I359" s="108"/>
    </row>
    <row r="360" ht="15.75" customHeight="1">
      <c r="I360" s="108"/>
    </row>
    <row r="361" ht="15.75" customHeight="1">
      <c r="I361" s="108"/>
    </row>
    <row r="362" ht="15.75" customHeight="1">
      <c r="I362" s="108"/>
    </row>
    <row r="363" ht="15.75" customHeight="1">
      <c r="I363" s="108"/>
    </row>
    <row r="364" ht="15.75" customHeight="1">
      <c r="I364" s="108"/>
    </row>
    <row r="365" ht="15.75" customHeight="1">
      <c r="I365" s="108"/>
    </row>
    <row r="366" ht="15.75" customHeight="1">
      <c r="I366" s="108"/>
    </row>
    <row r="367" ht="15.75" customHeight="1">
      <c r="I367" s="108"/>
    </row>
    <row r="368" ht="15.75" customHeight="1">
      <c r="I368" s="108"/>
    </row>
    <row r="369" ht="15.75" customHeight="1">
      <c r="I369" s="108"/>
    </row>
    <row r="370" ht="15.75" customHeight="1">
      <c r="I370" s="108"/>
    </row>
    <row r="371" ht="15.75" customHeight="1">
      <c r="I371" s="108"/>
    </row>
    <row r="372" ht="15.75" customHeight="1">
      <c r="I372" s="108"/>
    </row>
    <row r="373" ht="15.75" customHeight="1">
      <c r="I373" s="108"/>
    </row>
    <row r="374" ht="15.75" customHeight="1">
      <c r="I374" s="108"/>
    </row>
    <row r="375" ht="15.75" customHeight="1">
      <c r="I375" s="108"/>
    </row>
    <row r="376" ht="15.75" customHeight="1">
      <c r="I376" s="108"/>
    </row>
    <row r="377" ht="15.75" customHeight="1">
      <c r="I377" s="108"/>
    </row>
    <row r="378" ht="15.75" customHeight="1">
      <c r="I378" s="108"/>
    </row>
    <row r="379" ht="15.75" customHeight="1">
      <c r="I379" s="108"/>
    </row>
    <row r="380" ht="15.75" customHeight="1">
      <c r="I380" s="108"/>
    </row>
    <row r="381" ht="15.75" customHeight="1">
      <c r="I381" s="108"/>
    </row>
    <row r="382" ht="15.75" customHeight="1">
      <c r="I382" s="108"/>
    </row>
    <row r="383" ht="15.75" customHeight="1">
      <c r="I383" s="108"/>
    </row>
    <row r="384" ht="15.75" customHeight="1">
      <c r="I384" s="108"/>
    </row>
    <row r="385" ht="15.75" customHeight="1">
      <c r="I385" s="108"/>
    </row>
    <row r="386" ht="15.75" customHeight="1">
      <c r="I386" s="108"/>
    </row>
    <row r="387" ht="15.75" customHeight="1">
      <c r="I387" s="108"/>
    </row>
    <row r="388" ht="15.75" customHeight="1">
      <c r="I388" s="108"/>
    </row>
    <row r="389" ht="15.75" customHeight="1">
      <c r="I389" s="108"/>
    </row>
    <row r="390" ht="15.75" customHeight="1">
      <c r="I390" s="108"/>
    </row>
    <row r="391" ht="15.75" customHeight="1">
      <c r="I391" s="108"/>
    </row>
    <row r="392" ht="15.75" customHeight="1">
      <c r="I392" s="108"/>
    </row>
    <row r="393" ht="15.75" customHeight="1">
      <c r="I393" s="108"/>
    </row>
    <row r="394" ht="15.75" customHeight="1">
      <c r="I394" s="108"/>
    </row>
    <row r="395" ht="15.75" customHeight="1">
      <c r="I395" s="108"/>
    </row>
    <row r="396" ht="15.75" customHeight="1">
      <c r="I396" s="108"/>
    </row>
    <row r="397" ht="15.75" customHeight="1">
      <c r="I397" s="108"/>
    </row>
    <row r="398" ht="15.75" customHeight="1">
      <c r="I398" s="108"/>
    </row>
    <row r="399" ht="15.75" customHeight="1">
      <c r="I399" s="108"/>
    </row>
    <row r="400" ht="15.75" customHeight="1">
      <c r="I400" s="108"/>
    </row>
    <row r="401" ht="15.75" customHeight="1">
      <c r="I401" s="108"/>
    </row>
    <row r="402" ht="15.75" customHeight="1">
      <c r="I402" s="108"/>
    </row>
    <row r="403" ht="15.75" customHeight="1">
      <c r="I403" s="108"/>
    </row>
    <row r="404" ht="15.75" customHeight="1">
      <c r="I404" s="108"/>
    </row>
    <row r="405" ht="15.75" customHeight="1">
      <c r="I405" s="108"/>
    </row>
    <row r="406" ht="15.75" customHeight="1">
      <c r="I406" s="108"/>
    </row>
    <row r="407" ht="15.75" customHeight="1">
      <c r="I407" s="108"/>
    </row>
    <row r="408" ht="15.75" customHeight="1">
      <c r="I408" s="108"/>
    </row>
    <row r="409" ht="15.75" customHeight="1">
      <c r="I409" s="108"/>
    </row>
    <row r="410" ht="15.75" customHeight="1">
      <c r="I410" s="108"/>
    </row>
    <row r="411" ht="15.75" customHeight="1">
      <c r="I411" s="108"/>
    </row>
    <row r="412" ht="15.75" customHeight="1">
      <c r="I412" s="108"/>
    </row>
    <row r="413" ht="15.75" customHeight="1">
      <c r="I413" s="108"/>
    </row>
    <row r="414" ht="15.75" customHeight="1">
      <c r="I414" s="108"/>
    </row>
    <row r="415" ht="15.75" customHeight="1">
      <c r="I415" s="108"/>
    </row>
    <row r="416" ht="15.75" customHeight="1">
      <c r="I416" s="108"/>
    </row>
    <row r="417" ht="15.75" customHeight="1">
      <c r="I417" s="108"/>
    </row>
    <row r="418" ht="15.75" customHeight="1">
      <c r="I418" s="108"/>
    </row>
    <row r="419" ht="15.75" customHeight="1">
      <c r="I419" s="108"/>
    </row>
    <row r="420" ht="15.75" customHeight="1">
      <c r="I420" s="108"/>
    </row>
    <row r="421" ht="15.75" customHeight="1">
      <c r="I421" s="108"/>
    </row>
    <row r="422" ht="15.75" customHeight="1">
      <c r="I422" s="108"/>
    </row>
    <row r="423" ht="15.75" customHeight="1">
      <c r="I423" s="108"/>
    </row>
    <row r="424" ht="15.75" customHeight="1">
      <c r="I424" s="108"/>
    </row>
    <row r="425" ht="15.75" customHeight="1">
      <c r="I425" s="108"/>
    </row>
    <row r="426" ht="15.75" customHeight="1">
      <c r="I426" s="108"/>
    </row>
    <row r="427" ht="15.75" customHeight="1">
      <c r="I427" s="108"/>
    </row>
    <row r="428" ht="15.75" customHeight="1">
      <c r="I428" s="108"/>
    </row>
    <row r="429" ht="15.75" customHeight="1">
      <c r="I429" s="108"/>
    </row>
    <row r="430" ht="15.75" customHeight="1">
      <c r="I430" s="108"/>
    </row>
    <row r="431" ht="15.75" customHeight="1">
      <c r="I431" s="108"/>
    </row>
    <row r="432" ht="15.75" customHeight="1">
      <c r="I432" s="108"/>
    </row>
    <row r="433" ht="15.75" customHeight="1">
      <c r="I433" s="108"/>
    </row>
    <row r="434" ht="15.75" customHeight="1">
      <c r="I434" s="108"/>
    </row>
    <row r="435" ht="15.75" customHeight="1">
      <c r="I435" s="108"/>
    </row>
    <row r="436" ht="15.75" customHeight="1">
      <c r="I436" s="108"/>
    </row>
    <row r="437" ht="15.75" customHeight="1">
      <c r="I437" s="108"/>
    </row>
    <row r="438" ht="15.75" customHeight="1">
      <c r="I438" s="108"/>
    </row>
    <row r="439" ht="15.75" customHeight="1">
      <c r="I439" s="108"/>
    </row>
    <row r="440" ht="15.75" customHeight="1">
      <c r="I440" s="108"/>
    </row>
    <row r="441" ht="15.75" customHeight="1">
      <c r="I441" s="108"/>
    </row>
    <row r="442" ht="15.75" customHeight="1">
      <c r="I442" s="108"/>
    </row>
    <row r="443" ht="15.75" customHeight="1">
      <c r="I443" s="108"/>
    </row>
    <row r="444" ht="15.75" customHeight="1">
      <c r="I444" s="108"/>
    </row>
    <row r="445" ht="15.75" customHeight="1">
      <c r="I445" s="108"/>
    </row>
    <row r="446" ht="15.75" customHeight="1">
      <c r="I446" s="108"/>
    </row>
    <row r="447" ht="15.75" customHeight="1">
      <c r="I447" s="108"/>
    </row>
    <row r="448" ht="15.75" customHeight="1">
      <c r="I448" s="108"/>
    </row>
    <row r="449" ht="15.75" customHeight="1">
      <c r="I449" s="108"/>
    </row>
    <row r="450" ht="15.75" customHeight="1">
      <c r="I450" s="108"/>
    </row>
    <row r="451" ht="15.75" customHeight="1">
      <c r="I451" s="108"/>
    </row>
    <row r="452" ht="15.75" customHeight="1">
      <c r="I452" s="108"/>
    </row>
    <row r="453" ht="15.75" customHeight="1">
      <c r="I453" s="108"/>
    </row>
    <row r="454" ht="15.75" customHeight="1">
      <c r="I454" s="108"/>
    </row>
    <row r="455" ht="15.75" customHeight="1">
      <c r="I455" s="108"/>
    </row>
    <row r="456" ht="15.75" customHeight="1">
      <c r="I456" s="108"/>
    </row>
    <row r="457" ht="15.75" customHeight="1">
      <c r="I457" s="108"/>
    </row>
    <row r="458" ht="15.75" customHeight="1">
      <c r="I458" s="108"/>
    </row>
    <row r="459" ht="15.75" customHeight="1">
      <c r="I459" s="108"/>
    </row>
    <row r="460" ht="15.75" customHeight="1">
      <c r="I460" s="108"/>
    </row>
    <row r="461" ht="15.75" customHeight="1">
      <c r="I461" s="108"/>
    </row>
    <row r="462" ht="15.75" customHeight="1">
      <c r="I462" s="108"/>
    </row>
    <row r="463" ht="15.75" customHeight="1">
      <c r="I463" s="108"/>
    </row>
    <row r="464" ht="15.75" customHeight="1">
      <c r="I464" s="108"/>
    </row>
    <row r="465" ht="15.75" customHeight="1">
      <c r="I465" s="108"/>
    </row>
    <row r="466" ht="15.75" customHeight="1">
      <c r="I466" s="108"/>
    </row>
    <row r="467" ht="15.75" customHeight="1">
      <c r="I467" s="108"/>
    </row>
    <row r="468" ht="15.75" customHeight="1">
      <c r="I468" s="108"/>
    </row>
    <row r="469" ht="15.75" customHeight="1">
      <c r="I469" s="108"/>
    </row>
    <row r="470" ht="15.75" customHeight="1">
      <c r="I470" s="108"/>
    </row>
    <row r="471" ht="15.75" customHeight="1">
      <c r="I471" s="108"/>
    </row>
    <row r="472" ht="15.75" customHeight="1">
      <c r="I472" s="108"/>
    </row>
    <row r="473" ht="15.75" customHeight="1">
      <c r="I473" s="108"/>
    </row>
    <row r="474" ht="15.75" customHeight="1">
      <c r="I474" s="108"/>
    </row>
    <row r="475" ht="15.75" customHeight="1">
      <c r="I475" s="108"/>
    </row>
    <row r="476" ht="15.75" customHeight="1">
      <c r="I476" s="108"/>
    </row>
    <row r="477" ht="15.75" customHeight="1">
      <c r="I477" s="108"/>
    </row>
    <row r="478" ht="15.75" customHeight="1">
      <c r="I478" s="108"/>
    </row>
    <row r="479" ht="15.75" customHeight="1">
      <c r="I479" s="108"/>
    </row>
    <row r="480" ht="15.75" customHeight="1">
      <c r="I480" s="108"/>
    </row>
    <row r="481" ht="15.75" customHeight="1">
      <c r="I481" s="108"/>
    </row>
    <row r="482" ht="15.75" customHeight="1">
      <c r="I482" s="108"/>
    </row>
    <row r="483" ht="15.75" customHeight="1">
      <c r="I483" s="108"/>
    </row>
    <row r="484" ht="15.75" customHeight="1">
      <c r="I484" s="108"/>
    </row>
    <row r="485" ht="15.75" customHeight="1">
      <c r="I485" s="108"/>
    </row>
    <row r="486" ht="15.75" customHeight="1">
      <c r="I486" s="108"/>
    </row>
    <row r="487" ht="15.75" customHeight="1">
      <c r="I487" s="108"/>
    </row>
    <row r="488" ht="15.75" customHeight="1">
      <c r="I488" s="108"/>
    </row>
    <row r="489" ht="15.75" customHeight="1">
      <c r="I489" s="108"/>
    </row>
    <row r="490" ht="15.75" customHeight="1">
      <c r="I490" s="108"/>
    </row>
    <row r="491" ht="15.75" customHeight="1">
      <c r="I491" s="108"/>
    </row>
    <row r="492" ht="15.75" customHeight="1">
      <c r="I492" s="108"/>
    </row>
    <row r="493" ht="15.75" customHeight="1">
      <c r="I493" s="108"/>
    </row>
    <row r="494" ht="15.75" customHeight="1">
      <c r="I494" s="108"/>
    </row>
    <row r="495" ht="15.75" customHeight="1">
      <c r="I495" s="108"/>
    </row>
    <row r="496" ht="15.75" customHeight="1">
      <c r="I496" s="108"/>
    </row>
    <row r="497" ht="15.75" customHeight="1">
      <c r="I497" s="108"/>
    </row>
    <row r="498" ht="15.75" customHeight="1">
      <c r="I498" s="108"/>
    </row>
    <row r="499" ht="15.75" customHeight="1">
      <c r="I499" s="108"/>
    </row>
    <row r="500" ht="15.75" customHeight="1">
      <c r="I500" s="108"/>
    </row>
    <row r="501" ht="15.75" customHeight="1">
      <c r="I501" s="108"/>
    </row>
    <row r="502" ht="15.75" customHeight="1">
      <c r="I502" s="108"/>
    </row>
    <row r="503" ht="15.75" customHeight="1">
      <c r="I503" s="108"/>
    </row>
    <row r="504" ht="15.75" customHeight="1">
      <c r="I504" s="108"/>
    </row>
    <row r="505" ht="15.75" customHeight="1">
      <c r="I505" s="108"/>
    </row>
    <row r="506" ht="15.75" customHeight="1">
      <c r="I506" s="108"/>
    </row>
    <row r="507" ht="15.75" customHeight="1">
      <c r="I507" s="108"/>
    </row>
    <row r="508" ht="15.75" customHeight="1">
      <c r="I508" s="108"/>
    </row>
    <row r="509" ht="15.75" customHeight="1">
      <c r="I509" s="108"/>
    </row>
    <row r="510" ht="15.75" customHeight="1">
      <c r="I510" s="108"/>
    </row>
    <row r="511" ht="15.75" customHeight="1">
      <c r="I511" s="108"/>
    </row>
    <row r="512" ht="15.75" customHeight="1">
      <c r="I512" s="108"/>
    </row>
    <row r="513" ht="15.75" customHeight="1">
      <c r="I513" s="108"/>
    </row>
    <row r="514" ht="15.75" customHeight="1">
      <c r="I514" s="108"/>
    </row>
    <row r="515" ht="15.75" customHeight="1">
      <c r="I515" s="108"/>
    </row>
    <row r="516" ht="15.75" customHeight="1">
      <c r="I516" s="108"/>
    </row>
    <row r="517" ht="15.75" customHeight="1">
      <c r="I517" s="108"/>
    </row>
    <row r="518" ht="15.75" customHeight="1">
      <c r="I518" s="108"/>
    </row>
    <row r="519" ht="15.75" customHeight="1">
      <c r="I519" s="108"/>
    </row>
    <row r="520" ht="15.75" customHeight="1">
      <c r="I520" s="108"/>
    </row>
    <row r="521" ht="15.75" customHeight="1">
      <c r="I521" s="108"/>
    </row>
    <row r="522" ht="15.75" customHeight="1">
      <c r="I522" s="108"/>
    </row>
    <row r="523" ht="15.75" customHeight="1">
      <c r="I523" s="108"/>
    </row>
    <row r="524" ht="15.75" customHeight="1">
      <c r="I524" s="108"/>
    </row>
    <row r="525" ht="15.75" customHeight="1">
      <c r="I525" s="108"/>
    </row>
    <row r="526" ht="15.75" customHeight="1">
      <c r="I526" s="108"/>
    </row>
    <row r="527" ht="15.75" customHeight="1">
      <c r="I527" s="108"/>
    </row>
    <row r="528" ht="15.75" customHeight="1">
      <c r="I528" s="108"/>
    </row>
    <row r="529" ht="15.75" customHeight="1">
      <c r="I529" s="108"/>
    </row>
    <row r="530" ht="15.75" customHeight="1">
      <c r="I530" s="108"/>
    </row>
    <row r="531" ht="15.75" customHeight="1">
      <c r="I531" s="108"/>
    </row>
    <row r="532" ht="15.75" customHeight="1">
      <c r="I532" s="108"/>
    </row>
    <row r="533" ht="15.75" customHeight="1">
      <c r="I533" s="108"/>
    </row>
    <row r="534" ht="15.75" customHeight="1">
      <c r="I534" s="108"/>
    </row>
    <row r="535" ht="15.75" customHeight="1">
      <c r="I535" s="108"/>
    </row>
    <row r="536" ht="15.75" customHeight="1">
      <c r="I536" s="108"/>
    </row>
    <row r="537" ht="15.75" customHeight="1">
      <c r="I537" s="108"/>
    </row>
    <row r="538" ht="15.75" customHeight="1">
      <c r="I538" s="108"/>
    </row>
    <row r="539" ht="15.75" customHeight="1">
      <c r="I539" s="108"/>
    </row>
    <row r="540" ht="15.75" customHeight="1">
      <c r="I540" s="108"/>
    </row>
    <row r="541" ht="15.75" customHeight="1">
      <c r="I541" s="108"/>
    </row>
    <row r="542" ht="15.75" customHeight="1">
      <c r="I542" s="108"/>
    </row>
    <row r="543" ht="15.75" customHeight="1">
      <c r="I543" s="108"/>
    </row>
    <row r="544" ht="15.75" customHeight="1">
      <c r="I544" s="108"/>
    </row>
    <row r="545" ht="15.75" customHeight="1">
      <c r="I545" s="108"/>
    </row>
    <row r="546" ht="15.75" customHeight="1">
      <c r="I546" s="108"/>
    </row>
    <row r="547" ht="15.75" customHeight="1">
      <c r="I547" s="108"/>
    </row>
    <row r="548" ht="15.75" customHeight="1">
      <c r="I548" s="108"/>
    </row>
    <row r="549" ht="15.75" customHeight="1">
      <c r="I549" s="108"/>
    </row>
    <row r="550" ht="15.75" customHeight="1">
      <c r="I550" s="108"/>
    </row>
    <row r="551" ht="15.75" customHeight="1">
      <c r="I551" s="108"/>
    </row>
    <row r="552" ht="15.75" customHeight="1">
      <c r="I552" s="108"/>
    </row>
    <row r="553" ht="15.75" customHeight="1">
      <c r="I553" s="108"/>
    </row>
    <row r="554" ht="15.75" customHeight="1">
      <c r="I554" s="108"/>
    </row>
    <row r="555" ht="15.75" customHeight="1">
      <c r="I555" s="108"/>
    </row>
    <row r="556" ht="15.75" customHeight="1">
      <c r="I556" s="108"/>
    </row>
    <row r="557" ht="15.75" customHeight="1">
      <c r="I557" s="108"/>
    </row>
    <row r="558" ht="15.75" customHeight="1">
      <c r="I558" s="108"/>
    </row>
    <row r="559" ht="15.75" customHeight="1">
      <c r="I559" s="108"/>
    </row>
    <row r="560" ht="15.75" customHeight="1">
      <c r="I560" s="108"/>
    </row>
    <row r="561" ht="15.75" customHeight="1">
      <c r="I561" s="108"/>
    </row>
    <row r="562" ht="15.75" customHeight="1">
      <c r="I562" s="108"/>
    </row>
    <row r="563" ht="15.75" customHeight="1">
      <c r="I563" s="108"/>
    </row>
    <row r="564" ht="15.75" customHeight="1">
      <c r="I564" s="108"/>
    </row>
    <row r="565" ht="15.75" customHeight="1">
      <c r="I565" s="108"/>
    </row>
    <row r="566" ht="15.75" customHeight="1">
      <c r="I566" s="108"/>
    </row>
    <row r="567" ht="15.75" customHeight="1">
      <c r="I567" s="108"/>
    </row>
    <row r="568" ht="15.75" customHeight="1">
      <c r="I568" s="108"/>
    </row>
    <row r="569" ht="15.75" customHeight="1">
      <c r="I569" s="108"/>
    </row>
    <row r="570" ht="15.75" customHeight="1">
      <c r="I570" s="108"/>
    </row>
    <row r="571" ht="15.75" customHeight="1">
      <c r="I571" s="108"/>
    </row>
    <row r="572" ht="15.75" customHeight="1">
      <c r="I572" s="108"/>
    </row>
    <row r="573" ht="15.75" customHeight="1">
      <c r="I573" s="108"/>
    </row>
    <row r="574" ht="15.75" customHeight="1">
      <c r="I574" s="108"/>
    </row>
    <row r="575" ht="15.75" customHeight="1">
      <c r="I575" s="108"/>
    </row>
    <row r="576" ht="15.75" customHeight="1">
      <c r="I576" s="108"/>
    </row>
    <row r="577" ht="15.75" customHeight="1">
      <c r="I577" s="108"/>
    </row>
    <row r="578" ht="15.75" customHeight="1">
      <c r="I578" s="108"/>
    </row>
    <row r="579" ht="15.75" customHeight="1">
      <c r="I579" s="108"/>
    </row>
    <row r="580" ht="15.75" customHeight="1">
      <c r="I580" s="108"/>
    </row>
    <row r="581" ht="15.75" customHeight="1">
      <c r="I581" s="108"/>
    </row>
    <row r="582" ht="15.75" customHeight="1">
      <c r="I582" s="108"/>
    </row>
    <row r="583" ht="15.75" customHeight="1">
      <c r="I583" s="108"/>
    </row>
    <row r="584" ht="15.75" customHeight="1">
      <c r="I584" s="108"/>
    </row>
    <row r="585" ht="15.75" customHeight="1">
      <c r="I585" s="108"/>
    </row>
    <row r="586" ht="15.75" customHeight="1">
      <c r="I586" s="108"/>
    </row>
    <row r="587" ht="15.75" customHeight="1">
      <c r="I587" s="108"/>
    </row>
    <row r="588" ht="15.75" customHeight="1">
      <c r="I588" s="108"/>
    </row>
    <row r="589" ht="15.75" customHeight="1">
      <c r="I589" s="108"/>
    </row>
    <row r="590" ht="15.75" customHeight="1">
      <c r="I590" s="108"/>
    </row>
    <row r="591" ht="15.75" customHeight="1">
      <c r="I591" s="108"/>
    </row>
    <row r="592" ht="15.75" customHeight="1">
      <c r="I592" s="108"/>
    </row>
    <row r="593" ht="15.75" customHeight="1">
      <c r="I593" s="108"/>
    </row>
    <row r="594" ht="15.75" customHeight="1">
      <c r="I594" s="108"/>
    </row>
    <row r="595" ht="15.75" customHeight="1">
      <c r="I595" s="108"/>
    </row>
    <row r="596" ht="15.75" customHeight="1">
      <c r="I596" s="108"/>
    </row>
    <row r="597" ht="15.75" customHeight="1">
      <c r="I597" s="108"/>
    </row>
    <row r="598" ht="15.75" customHeight="1">
      <c r="I598" s="108"/>
    </row>
    <row r="599" ht="15.75" customHeight="1">
      <c r="I599" s="108"/>
    </row>
    <row r="600" ht="15.75" customHeight="1">
      <c r="I600" s="108"/>
    </row>
    <row r="601" ht="15.75" customHeight="1">
      <c r="I601" s="108"/>
    </row>
    <row r="602" ht="15.75" customHeight="1">
      <c r="I602" s="108"/>
    </row>
    <row r="603" ht="15.75" customHeight="1">
      <c r="I603" s="108"/>
    </row>
    <row r="604" ht="15.75" customHeight="1">
      <c r="I604" s="108"/>
    </row>
    <row r="605" ht="15.75" customHeight="1">
      <c r="I605" s="108"/>
    </row>
    <row r="606" ht="15.75" customHeight="1">
      <c r="I606" s="108"/>
    </row>
    <row r="607" ht="15.75" customHeight="1">
      <c r="I607" s="108"/>
    </row>
    <row r="608" ht="15.75" customHeight="1">
      <c r="I608" s="108"/>
    </row>
    <row r="609" ht="15.75" customHeight="1">
      <c r="I609" s="108"/>
    </row>
    <row r="610" ht="15.75" customHeight="1">
      <c r="I610" s="108"/>
    </row>
    <row r="611" ht="15.75" customHeight="1">
      <c r="I611" s="108"/>
    </row>
    <row r="612" ht="15.75" customHeight="1">
      <c r="I612" s="108"/>
    </row>
    <row r="613" ht="15.75" customHeight="1">
      <c r="I613" s="108"/>
    </row>
    <row r="614" ht="15.75" customHeight="1">
      <c r="I614" s="108"/>
    </row>
    <row r="615" ht="15.75" customHeight="1">
      <c r="I615" s="108"/>
    </row>
    <row r="616" ht="15.75" customHeight="1">
      <c r="I616" s="108"/>
    </row>
    <row r="617" ht="15.75" customHeight="1">
      <c r="I617" s="108"/>
    </row>
    <row r="618" ht="15.75" customHeight="1">
      <c r="I618" s="108"/>
    </row>
    <row r="619" ht="15.75" customHeight="1">
      <c r="I619" s="108"/>
    </row>
    <row r="620" ht="15.75" customHeight="1">
      <c r="I620" s="108"/>
    </row>
    <row r="621" ht="15.75" customHeight="1">
      <c r="I621" s="108"/>
    </row>
    <row r="622" ht="15.75" customHeight="1">
      <c r="I622" s="108"/>
    </row>
    <row r="623" ht="15.75" customHeight="1">
      <c r="I623" s="108"/>
    </row>
    <row r="624" ht="15.75" customHeight="1">
      <c r="I624" s="108"/>
    </row>
    <row r="625" ht="15.75" customHeight="1">
      <c r="I625" s="108"/>
    </row>
    <row r="626" ht="15.75" customHeight="1">
      <c r="I626" s="108"/>
    </row>
    <row r="627" ht="15.75" customHeight="1">
      <c r="I627" s="108"/>
    </row>
    <row r="628" ht="15.75" customHeight="1">
      <c r="I628" s="108"/>
    </row>
    <row r="629" ht="15.75" customHeight="1">
      <c r="I629" s="108"/>
    </row>
    <row r="630" ht="15.75" customHeight="1">
      <c r="I630" s="108"/>
    </row>
    <row r="631" ht="15.75" customHeight="1">
      <c r="I631" s="108"/>
    </row>
    <row r="632" ht="15.75" customHeight="1">
      <c r="I632" s="108"/>
    </row>
    <row r="633" ht="15.75" customHeight="1">
      <c r="I633" s="108"/>
    </row>
    <row r="634" ht="15.75" customHeight="1">
      <c r="I634" s="108"/>
    </row>
    <row r="635" ht="15.75" customHeight="1">
      <c r="I635" s="108"/>
    </row>
    <row r="636" ht="15.75" customHeight="1">
      <c r="I636" s="108"/>
    </row>
    <row r="637" ht="15.75" customHeight="1">
      <c r="I637" s="108"/>
    </row>
    <row r="638" ht="15.75" customHeight="1">
      <c r="I638" s="108"/>
    </row>
    <row r="639" ht="15.75" customHeight="1">
      <c r="I639" s="108"/>
    </row>
    <row r="640" ht="15.75" customHeight="1">
      <c r="I640" s="108"/>
    </row>
    <row r="641" ht="15.75" customHeight="1">
      <c r="I641" s="108"/>
    </row>
    <row r="642" ht="15.75" customHeight="1">
      <c r="I642" s="108"/>
    </row>
    <row r="643" ht="15.75" customHeight="1">
      <c r="I643" s="108"/>
    </row>
    <row r="644" ht="15.75" customHeight="1">
      <c r="I644" s="108"/>
    </row>
    <row r="645" ht="15.75" customHeight="1">
      <c r="I645" s="108"/>
    </row>
    <row r="646" ht="15.75" customHeight="1">
      <c r="I646" s="108"/>
    </row>
    <row r="647" ht="15.75" customHeight="1">
      <c r="I647" s="108"/>
    </row>
    <row r="648" ht="15.75" customHeight="1">
      <c r="I648" s="108"/>
    </row>
    <row r="649" ht="15.75" customHeight="1">
      <c r="I649" s="108"/>
    </row>
    <row r="650" ht="15.75" customHeight="1">
      <c r="I650" s="108"/>
    </row>
    <row r="651" ht="15.75" customHeight="1">
      <c r="I651" s="108"/>
    </row>
    <row r="652" ht="15.75" customHeight="1">
      <c r="I652" s="108"/>
    </row>
    <row r="653" ht="15.75" customHeight="1">
      <c r="I653" s="108"/>
    </row>
    <row r="654" ht="15.75" customHeight="1">
      <c r="I654" s="108"/>
    </row>
    <row r="655" ht="15.75" customHeight="1">
      <c r="I655" s="108"/>
    </row>
    <row r="656" ht="15.75" customHeight="1">
      <c r="I656" s="108"/>
    </row>
    <row r="657" ht="15.75" customHeight="1">
      <c r="I657" s="108"/>
    </row>
    <row r="658" ht="15.75" customHeight="1">
      <c r="I658" s="108"/>
    </row>
    <row r="659" ht="15.75" customHeight="1">
      <c r="I659" s="108"/>
    </row>
    <row r="660" ht="15.75" customHeight="1">
      <c r="I660" s="108"/>
    </row>
    <row r="661" ht="15.75" customHeight="1">
      <c r="I661" s="108"/>
    </row>
    <row r="662" ht="15.75" customHeight="1">
      <c r="I662" s="108"/>
    </row>
    <row r="663" ht="15.75" customHeight="1">
      <c r="I663" s="108"/>
    </row>
    <row r="664" ht="15.75" customHeight="1">
      <c r="I664" s="108"/>
    </row>
    <row r="665" ht="15.75" customHeight="1">
      <c r="I665" s="108"/>
    </row>
    <row r="666" ht="15.75" customHeight="1">
      <c r="I666" s="108"/>
    </row>
    <row r="667" ht="15.75" customHeight="1">
      <c r="I667" s="108"/>
    </row>
    <row r="668" ht="15.75" customHeight="1">
      <c r="I668" s="108"/>
    </row>
    <row r="669" ht="15.75" customHeight="1">
      <c r="I669" s="108"/>
    </row>
    <row r="670" ht="15.75" customHeight="1">
      <c r="I670" s="108"/>
    </row>
    <row r="671" ht="15.75" customHeight="1">
      <c r="I671" s="108"/>
    </row>
    <row r="672" ht="15.75" customHeight="1">
      <c r="I672" s="108"/>
    </row>
    <row r="673" ht="15.75" customHeight="1">
      <c r="I673" s="108"/>
    </row>
    <row r="674" ht="15.75" customHeight="1">
      <c r="I674" s="108"/>
    </row>
    <row r="675" ht="15.75" customHeight="1">
      <c r="I675" s="108"/>
    </row>
    <row r="676" ht="15.75" customHeight="1">
      <c r="I676" s="108"/>
    </row>
    <row r="677" ht="15.75" customHeight="1">
      <c r="I677" s="108"/>
    </row>
    <row r="678" ht="15.75" customHeight="1">
      <c r="I678" s="108"/>
    </row>
    <row r="679" ht="15.75" customHeight="1">
      <c r="I679" s="108"/>
    </row>
    <row r="680" ht="15.75" customHeight="1">
      <c r="I680" s="108"/>
    </row>
    <row r="681" ht="15.75" customHeight="1">
      <c r="I681" s="108"/>
    </row>
    <row r="682" ht="15.75" customHeight="1">
      <c r="I682" s="108"/>
    </row>
    <row r="683" ht="15.75" customHeight="1">
      <c r="I683" s="108"/>
    </row>
    <row r="684" ht="15.75" customHeight="1">
      <c r="I684" s="108"/>
    </row>
    <row r="685" ht="15.75" customHeight="1">
      <c r="I685" s="108"/>
    </row>
    <row r="686" ht="15.75" customHeight="1">
      <c r="I686" s="108"/>
    </row>
    <row r="687" ht="15.75" customHeight="1">
      <c r="I687" s="108"/>
    </row>
    <row r="688" ht="15.75" customHeight="1">
      <c r="I688" s="108"/>
    </row>
    <row r="689" ht="15.75" customHeight="1">
      <c r="I689" s="108"/>
    </row>
    <row r="690" ht="15.75" customHeight="1">
      <c r="I690" s="108"/>
    </row>
    <row r="691" ht="15.75" customHeight="1">
      <c r="I691" s="108"/>
    </row>
    <row r="692" ht="15.75" customHeight="1">
      <c r="I692" s="108"/>
    </row>
    <row r="693" ht="15.75" customHeight="1">
      <c r="I693" s="108"/>
    </row>
    <row r="694" ht="15.75" customHeight="1">
      <c r="I694" s="108"/>
    </row>
    <row r="695" ht="15.75" customHeight="1">
      <c r="I695" s="108"/>
    </row>
    <row r="696" ht="15.75" customHeight="1">
      <c r="I696" s="108"/>
    </row>
    <row r="697" ht="15.75" customHeight="1">
      <c r="I697" s="108"/>
    </row>
    <row r="698" ht="15.75" customHeight="1">
      <c r="I698" s="108"/>
    </row>
    <row r="699" ht="15.75" customHeight="1">
      <c r="I699" s="108"/>
    </row>
    <row r="700" ht="15.75" customHeight="1">
      <c r="I700" s="108"/>
    </row>
    <row r="701" ht="15.75" customHeight="1">
      <c r="I701" s="108"/>
    </row>
    <row r="702" ht="15.75" customHeight="1">
      <c r="I702" s="108"/>
    </row>
    <row r="703" ht="15.75" customHeight="1">
      <c r="I703" s="108"/>
    </row>
    <row r="704" ht="15.75" customHeight="1">
      <c r="I704" s="108"/>
    </row>
    <row r="705" ht="15.75" customHeight="1">
      <c r="I705" s="108"/>
    </row>
    <row r="706" ht="15.75" customHeight="1">
      <c r="I706" s="108"/>
    </row>
    <row r="707" ht="15.75" customHeight="1">
      <c r="I707" s="108"/>
    </row>
    <row r="708" ht="15.75" customHeight="1">
      <c r="I708" s="108"/>
    </row>
    <row r="709" ht="15.75" customHeight="1">
      <c r="I709" s="108"/>
    </row>
    <row r="710" ht="15.75" customHeight="1">
      <c r="I710" s="108"/>
    </row>
    <row r="711" ht="15.75" customHeight="1">
      <c r="I711" s="108"/>
    </row>
    <row r="712" ht="15.75" customHeight="1">
      <c r="I712" s="108"/>
    </row>
    <row r="713" ht="15.75" customHeight="1">
      <c r="I713" s="108"/>
    </row>
    <row r="714" ht="15.75" customHeight="1">
      <c r="I714" s="108"/>
    </row>
    <row r="715" ht="15.75" customHeight="1">
      <c r="I715" s="108"/>
    </row>
    <row r="716" ht="15.75" customHeight="1">
      <c r="I716" s="108"/>
    </row>
    <row r="717" ht="15.75" customHeight="1">
      <c r="I717" s="108"/>
    </row>
    <row r="718" ht="15.75" customHeight="1">
      <c r="I718" s="108"/>
    </row>
    <row r="719" ht="15.75" customHeight="1">
      <c r="I719" s="108"/>
    </row>
    <row r="720" ht="15.75" customHeight="1">
      <c r="I720" s="108"/>
    </row>
    <row r="721" ht="15.75" customHeight="1">
      <c r="I721" s="108"/>
    </row>
    <row r="722" ht="15.75" customHeight="1">
      <c r="I722" s="108"/>
    </row>
    <row r="723" ht="15.75" customHeight="1">
      <c r="I723" s="108"/>
    </row>
    <row r="724" ht="15.75" customHeight="1">
      <c r="I724" s="108"/>
    </row>
    <row r="725" ht="15.75" customHeight="1">
      <c r="I725" s="108"/>
    </row>
    <row r="726" ht="15.75" customHeight="1">
      <c r="I726" s="108"/>
    </row>
    <row r="727" ht="15.75" customHeight="1">
      <c r="I727" s="108"/>
    </row>
    <row r="728" ht="15.75" customHeight="1">
      <c r="I728" s="108"/>
    </row>
    <row r="729" ht="15.75" customHeight="1">
      <c r="I729" s="108"/>
    </row>
    <row r="730" ht="15.75" customHeight="1">
      <c r="I730" s="108"/>
    </row>
    <row r="731" ht="15.75" customHeight="1">
      <c r="I731" s="108"/>
    </row>
    <row r="732" ht="15.75" customHeight="1">
      <c r="I732" s="108"/>
    </row>
    <row r="733" ht="15.75" customHeight="1">
      <c r="I733" s="108"/>
    </row>
    <row r="734" ht="15.75" customHeight="1">
      <c r="I734" s="108"/>
    </row>
    <row r="735" ht="15.75" customHeight="1">
      <c r="I735" s="108"/>
    </row>
    <row r="736" ht="15.75" customHeight="1">
      <c r="I736" s="108"/>
    </row>
    <row r="737" ht="15.75" customHeight="1">
      <c r="I737" s="108"/>
    </row>
    <row r="738" ht="15.75" customHeight="1">
      <c r="I738" s="108"/>
    </row>
    <row r="739" ht="15.75" customHeight="1">
      <c r="I739" s="108"/>
    </row>
    <row r="740" ht="15.75" customHeight="1">
      <c r="I740" s="108"/>
    </row>
    <row r="741" ht="15.75" customHeight="1">
      <c r="I741" s="108"/>
    </row>
    <row r="742" ht="15.75" customHeight="1">
      <c r="I742" s="108"/>
    </row>
    <row r="743" ht="15.75" customHeight="1">
      <c r="I743" s="108"/>
    </row>
    <row r="744" ht="15.75" customHeight="1">
      <c r="I744" s="108"/>
    </row>
    <row r="745" ht="15.75" customHeight="1">
      <c r="I745" s="108"/>
    </row>
    <row r="746" ht="15.75" customHeight="1">
      <c r="I746" s="108"/>
    </row>
    <row r="747" ht="15.75" customHeight="1">
      <c r="I747" s="108"/>
    </row>
    <row r="748" ht="15.75" customHeight="1">
      <c r="I748" s="108"/>
    </row>
    <row r="749" ht="15.75" customHeight="1">
      <c r="I749" s="108"/>
    </row>
    <row r="750" ht="15.75" customHeight="1">
      <c r="I750" s="108"/>
    </row>
    <row r="751" ht="15.75" customHeight="1">
      <c r="I751" s="108"/>
    </row>
    <row r="752" ht="15.75" customHeight="1">
      <c r="I752" s="108"/>
    </row>
    <row r="753" ht="15.75" customHeight="1">
      <c r="I753" s="108"/>
    </row>
    <row r="754" ht="15.75" customHeight="1">
      <c r="I754" s="108"/>
    </row>
    <row r="755" ht="15.75" customHeight="1">
      <c r="I755" s="108"/>
    </row>
    <row r="756" ht="15.75" customHeight="1">
      <c r="I756" s="108"/>
    </row>
    <row r="757" ht="15.75" customHeight="1">
      <c r="I757" s="108"/>
    </row>
    <row r="758" ht="15.75" customHeight="1">
      <c r="I758" s="108"/>
    </row>
    <row r="759" ht="15.75" customHeight="1">
      <c r="I759" s="108"/>
    </row>
    <row r="760" ht="15.75" customHeight="1">
      <c r="I760" s="108"/>
    </row>
    <row r="761" ht="15.75" customHeight="1">
      <c r="I761" s="108"/>
    </row>
    <row r="762" ht="15.75" customHeight="1">
      <c r="I762" s="108"/>
    </row>
    <row r="763" ht="15.75" customHeight="1">
      <c r="I763" s="108"/>
    </row>
    <row r="764" ht="15.75" customHeight="1">
      <c r="I764" s="108"/>
    </row>
    <row r="765" ht="15.75" customHeight="1">
      <c r="I765" s="108"/>
    </row>
    <row r="766" ht="15.75" customHeight="1">
      <c r="I766" s="108"/>
    </row>
    <row r="767" ht="15.75" customHeight="1">
      <c r="I767" s="108"/>
    </row>
    <row r="768" ht="15.75" customHeight="1">
      <c r="I768" s="108"/>
    </row>
    <row r="769" ht="15.75" customHeight="1">
      <c r="I769" s="108"/>
    </row>
    <row r="770" ht="15.75" customHeight="1">
      <c r="I770" s="108"/>
    </row>
    <row r="771" ht="15.75" customHeight="1">
      <c r="I771" s="108"/>
    </row>
    <row r="772" ht="15.75" customHeight="1">
      <c r="I772" s="108"/>
    </row>
    <row r="773" ht="15.75" customHeight="1">
      <c r="I773" s="108"/>
    </row>
    <row r="774" ht="15.75" customHeight="1">
      <c r="I774" s="108"/>
    </row>
    <row r="775" ht="15.75" customHeight="1">
      <c r="I775" s="108"/>
    </row>
    <row r="776" ht="15.75" customHeight="1">
      <c r="I776" s="108"/>
    </row>
    <row r="777" ht="15.75" customHeight="1">
      <c r="I777" s="108"/>
    </row>
    <row r="778" ht="15.75" customHeight="1">
      <c r="I778" s="108"/>
    </row>
    <row r="779" ht="15.75" customHeight="1">
      <c r="I779" s="108"/>
    </row>
    <row r="780" ht="15.75" customHeight="1">
      <c r="I780" s="108"/>
    </row>
    <row r="781" ht="15.75" customHeight="1">
      <c r="I781" s="108"/>
    </row>
    <row r="782" ht="15.75" customHeight="1">
      <c r="I782" s="108"/>
    </row>
    <row r="783" ht="15.75" customHeight="1">
      <c r="I783" s="108"/>
    </row>
    <row r="784" ht="15.75" customHeight="1">
      <c r="I784" s="108"/>
    </row>
    <row r="785" ht="15.75" customHeight="1">
      <c r="I785" s="108"/>
    </row>
    <row r="786" ht="15.75" customHeight="1">
      <c r="I786" s="108"/>
    </row>
    <row r="787" ht="15.75" customHeight="1">
      <c r="I787" s="108"/>
    </row>
    <row r="788" ht="15.75" customHeight="1">
      <c r="I788" s="108"/>
    </row>
    <row r="789" ht="15.75" customHeight="1">
      <c r="I789" s="108"/>
    </row>
    <row r="790" ht="15.75" customHeight="1">
      <c r="I790" s="108"/>
    </row>
    <row r="791" ht="15.75" customHeight="1">
      <c r="I791" s="108"/>
    </row>
    <row r="792" ht="15.75" customHeight="1">
      <c r="I792" s="108"/>
    </row>
    <row r="793" ht="15.75" customHeight="1">
      <c r="I793" s="108"/>
    </row>
    <row r="794" ht="15.75" customHeight="1">
      <c r="I794" s="108"/>
    </row>
    <row r="795" ht="15.75" customHeight="1">
      <c r="I795" s="108"/>
    </row>
    <row r="796" ht="15.75" customHeight="1">
      <c r="I796" s="108"/>
    </row>
    <row r="797" ht="15.75" customHeight="1">
      <c r="I797" s="108"/>
    </row>
    <row r="798" ht="15.75" customHeight="1">
      <c r="I798" s="108"/>
    </row>
    <row r="799" ht="15.75" customHeight="1">
      <c r="I799" s="108"/>
    </row>
    <row r="800" ht="15.75" customHeight="1">
      <c r="I800" s="108"/>
    </row>
    <row r="801" ht="15.75" customHeight="1">
      <c r="I801" s="108"/>
    </row>
    <row r="802" ht="15.75" customHeight="1">
      <c r="I802" s="108"/>
    </row>
    <row r="803" ht="15.75" customHeight="1">
      <c r="I803" s="108"/>
    </row>
    <row r="804" ht="15.75" customHeight="1">
      <c r="I804" s="108"/>
    </row>
    <row r="805" ht="15.75" customHeight="1">
      <c r="I805" s="108"/>
    </row>
    <row r="806" ht="15.75" customHeight="1">
      <c r="I806" s="108"/>
    </row>
    <row r="807" ht="15.75" customHeight="1">
      <c r="I807" s="108"/>
    </row>
    <row r="808" ht="15.75" customHeight="1">
      <c r="I808" s="108"/>
    </row>
    <row r="809" ht="15.75" customHeight="1">
      <c r="I809" s="108"/>
    </row>
    <row r="810" ht="15.75" customHeight="1">
      <c r="I810" s="108"/>
    </row>
    <row r="811" ht="15.75" customHeight="1">
      <c r="I811" s="108"/>
    </row>
    <row r="812" ht="15.75" customHeight="1">
      <c r="I812" s="108"/>
    </row>
    <row r="813" ht="15.75" customHeight="1">
      <c r="I813" s="108"/>
    </row>
    <row r="814" ht="15.75" customHeight="1">
      <c r="I814" s="108"/>
    </row>
    <row r="815" ht="15.75" customHeight="1">
      <c r="I815" s="108"/>
    </row>
    <row r="816" ht="15.75" customHeight="1">
      <c r="I816" s="108"/>
    </row>
    <row r="817" ht="15.75" customHeight="1">
      <c r="I817" s="108"/>
    </row>
    <row r="818" ht="15.75" customHeight="1">
      <c r="I818" s="108"/>
    </row>
    <row r="819" ht="15.75" customHeight="1">
      <c r="I819" s="108"/>
    </row>
    <row r="820" ht="15.75" customHeight="1">
      <c r="I820" s="108"/>
    </row>
    <row r="821" ht="15.75" customHeight="1">
      <c r="I821" s="108"/>
    </row>
    <row r="822" ht="15.75" customHeight="1">
      <c r="I822" s="108"/>
    </row>
    <row r="823" ht="15.75" customHeight="1">
      <c r="I823" s="108"/>
    </row>
    <row r="824" ht="15.75" customHeight="1">
      <c r="I824" s="108"/>
    </row>
    <row r="825" ht="15.75" customHeight="1">
      <c r="I825" s="108"/>
    </row>
    <row r="826" ht="15.75" customHeight="1">
      <c r="I826" s="108"/>
    </row>
    <row r="827" ht="15.75" customHeight="1">
      <c r="I827" s="108"/>
    </row>
    <row r="828" ht="15.75" customHeight="1">
      <c r="I828" s="108"/>
    </row>
    <row r="829" ht="15.75" customHeight="1">
      <c r="I829" s="108"/>
    </row>
    <row r="830" ht="15.75" customHeight="1">
      <c r="I830" s="108"/>
    </row>
    <row r="831" ht="15.75" customHeight="1">
      <c r="I831" s="108"/>
    </row>
    <row r="832" ht="15.75" customHeight="1">
      <c r="I832" s="108"/>
    </row>
    <row r="833" ht="15.75" customHeight="1">
      <c r="I833" s="108"/>
    </row>
    <row r="834" ht="15.75" customHeight="1">
      <c r="I834" s="108"/>
    </row>
    <row r="835" ht="15.75" customHeight="1">
      <c r="I835" s="108"/>
    </row>
    <row r="836" ht="15.75" customHeight="1">
      <c r="I836" s="108"/>
    </row>
    <row r="837" ht="15.75" customHeight="1">
      <c r="I837" s="108"/>
    </row>
    <row r="838" ht="15.75" customHeight="1">
      <c r="I838" s="108"/>
    </row>
    <row r="839" ht="15.75" customHeight="1">
      <c r="I839" s="108"/>
    </row>
    <row r="840" ht="15.75" customHeight="1">
      <c r="I840" s="108"/>
    </row>
    <row r="841" ht="15.75" customHeight="1">
      <c r="I841" s="108"/>
    </row>
    <row r="842" ht="15.75" customHeight="1">
      <c r="I842" s="108"/>
    </row>
    <row r="843" ht="15.75" customHeight="1">
      <c r="I843" s="108"/>
    </row>
    <row r="844" ht="15.75" customHeight="1">
      <c r="I844" s="108"/>
    </row>
    <row r="845" ht="15.75" customHeight="1">
      <c r="I845" s="108"/>
    </row>
    <row r="846" ht="15.75" customHeight="1">
      <c r="I846" s="108"/>
    </row>
    <row r="847" ht="15.75" customHeight="1">
      <c r="I847" s="108"/>
    </row>
    <row r="848" ht="15.75" customHeight="1">
      <c r="I848" s="108"/>
    </row>
    <row r="849" ht="15.75" customHeight="1">
      <c r="I849" s="108"/>
    </row>
    <row r="850" ht="15.75" customHeight="1">
      <c r="I850" s="108"/>
    </row>
    <row r="851" ht="15.75" customHeight="1">
      <c r="I851" s="108"/>
    </row>
    <row r="852" ht="15.75" customHeight="1">
      <c r="I852" s="108"/>
    </row>
    <row r="853" ht="15.75" customHeight="1">
      <c r="I853" s="108"/>
    </row>
    <row r="854" ht="15.75" customHeight="1">
      <c r="I854" s="108"/>
    </row>
    <row r="855" ht="15.75" customHeight="1">
      <c r="I855" s="108"/>
    </row>
    <row r="856" ht="15.75" customHeight="1">
      <c r="I856" s="108"/>
    </row>
    <row r="857" ht="15.75" customHeight="1">
      <c r="I857" s="108"/>
    </row>
    <row r="858" ht="15.75" customHeight="1">
      <c r="I858" s="108"/>
    </row>
    <row r="859" ht="15.75" customHeight="1">
      <c r="I859" s="108"/>
    </row>
    <row r="860" ht="15.75" customHeight="1">
      <c r="I860" s="108"/>
    </row>
    <row r="861" ht="15.75" customHeight="1">
      <c r="I861" s="108"/>
    </row>
    <row r="862" ht="15.75" customHeight="1">
      <c r="I862" s="108"/>
    </row>
    <row r="863" ht="15.75" customHeight="1">
      <c r="I863" s="108"/>
    </row>
    <row r="864" ht="15.75" customHeight="1">
      <c r="I864" s="108"/>
    </row>
    <row r="865" ht="15.75" customHeight="1">
      <c r="I865" s="108"/>
    </row>
    <row r="866" ht="15.75" customHeight="1">
      <c r="I866" s="108"/>
    </row>
    <row r="867" ht="15.75" customHeight="1">
      <c r="I867" s="108"/>
    </row>
    <row r="868" ht="15.75" customHeight="1">
      <c r="I868" s="108"/>
    </row>
    <row r="869" ht="15.75" customHeight="1">
      <c r="I869" s="108"/>
    </row>
    <row r="870" ht="15.75" customHeight="1">
      <c r="I870" s="108"/>
    </row>
    <row r="871" ht="15.75" customHeight="1">
      <c r="I871" s="108"/>
    </row>
    <row r="872" ht="15.75" customHeight="1">
      <c r="I872" s="108"/>
    </row>
    <row r="873" ht="15.75" customHeight="1">
      <c r="I873" s="108"/>
    </row>
    <row r="874" ht="15.75" customHeight="1">
      <c r="I874" s="108"/>
    </row>
    <row r="875" ht="15.75" customHeight="1">
      <c r="I875" s="108"/>
    </row>
    <row r="876" ht="15.75" customHeight="1">
      <c r="I876" s="108"/>
    </row>
    <row r="877" ht="15.75" customHeight="1">
      <c r="I877" s="108"/>
    </row>
    <row r="878" ht="15.75" customHeight="1">
      <c r="I878" s="108"/>
    </row>
    <row r="879" ht="15.75" customHeight="1">
      <c r="I879" s="108"/>
    </row>
    <row r="880" ht="15.75" customHeight="1">
      <c r="I880" s="108"/>
    </row>
    <row r="881" ht="15.75" customHeight="1">
      <c r="I881" s="108"/>
    </row>
    <row r="882" ht="15.75" customHeight="1">
      <c r="I882" s="108"/>
    </row>
    <row r="883" ht="15.75" customHeight="1">
      <c r="I883" s="108"/>
    </row>
    <row r="884" ht="15.75" customHeight="1">
      <c r="I884" s="108"/>
    </row>
    <row r="885" ht="15.75" customHeight="1">
      <c r="I885" s="108"/>
    </row>
    <row r="886" ht="15.75" customHeight="1">
      <c r="I886" s="108"/>
    </row>
    <row r="887" ht="15.75" customHeight="1">
      <c r="I887" s="108"/>
    </row>
    <row r="888" ht="15.75" customHeight="1">
      <c r="I888" s="108"/>
    </row>
    <row r="889" ht="15.75" customHeight="1">
      <c r="I889" s="108"/>
    </row>
    <row r="890" ht="15.75" customHeight="1">
      <c r="I890" s="108"/>
    </row>
    <row r="891" ht="15.75" customHeight="1">
      <c r="I891" s="108"/>
    </row>
    <row r="892" ht="15.75" customHeight="1">
      <c r="I892" s="108"/>
    </row>
    <row r="893" ht="15.75" customHeight="1">
      <c r="I893" s="108"/>
    </row>
    <row r="894" ht="15.75" customHeight="1">
      <c r="I894" s="108"/>
    </row>
    <row r="895" ht="15.75" customHeight="1">
      <c r="I895" s="108"/>
    </row>
    <row r="896" ht="15.75" customHeight="1">
      <c r="I896" s="108"/>
    </row>
    <row r="897" ht="15.75" customHeight="1">
      <c r="I897" s="108"/>
    </row>
    <row r="898" ht="15.75" customHeight="1">
      <c r="I898" s="108"/>
    </row>
    <row r="899" ht="15.75" customHeight="1">
      <c r="I899" s="108"/>
    </row>
    <row r="900" ht="15.75" customHeight="1">
      <c r="I900" s="108"/>
    </row>
    <row r="901" ht="15.75" customHeight="1">
      <c r="I901" s="108"/>
    </row>
    <row r="902" ht="15.75" customHeight="1">
      <c r="I902" s="108"/>
    </row>
    <row r="903" ht="15.75" customHeight="1">
      <c r="I903" s="108"/>
    </row>
    <row r="904" ht="15.75" customHeight="1">
      <c r="I904" s="108"/>
    </row>
    <row r="905" ht="15.75" customHeight="1">
      <c r="I905" s="108"/>
    </row>
    <row r="906" ht="15.75" customHeight="1">
      <c r="I906" s="108"/>
    </row>
    <row r="907" ht="15.75" customHeight="1">
      <c r="I907" s="108"/>
    </row>
    <row r="908" ht="15.75" customHeight="1">
      <c r="I908" s="108"/>
    </row>
    <row r="909" ht="15.75" customHeight="1">
      <c r="I909" s="108"/>
    </row>
    <row r="910" ht="15.75" customHeight="1">
      <c r="I910" s="108"/>
    </row>
    <row r="911" ht="15.75" customHeight="1">
      <c r="I911" s="108"/>
    </row>
    <row r="912" ht="15.75" customHeight="1">
      <c r="I912" s="108"/>
    </row>
    <row r="913" ht="15.75" customHeight="1">
      <c r="I913" s="108"/>
    </row>
    <row r="914" ht="15.75" customHeight="1">
      <c r="I914" s="108"/>
    </row>
    <row r="915" ht="15.75" customHeight="1">
      <c r="I915" s="108"/>
    </row>
    <row r="916" ht="15.75" customHeight="1">
      <c r="I916" s="108"/>
    </row>
    <row r="917" ht="15.75" customHeight="1">
      <c r="I917" s="108"/>
    </row>
    <row r="918" ht="15.75" customHeight="1">
      <c r="I918" s="108"/>
    </row>
    <row r="919" ht="15.75" customHeight="1">
      <c r="I919" s="108"/>
    </row>
    <row r="920" ht="15.75" customHeight="1">
      <c r="I920" s="108"/>
    </row>
    <row r="921" ht="15.75" customHeight="1">
      <c r="I921" s="108"/>
    </row>
    <row r="922" ht="15.75" customHeight="1">
      <c r="I922" s="108"/>
    </row>
    <row r="923" ht="15.75" customHeight="1">
      <c r="I923" s="108"/>
    </row>
    <row r="924" ht="15.75" customHeight="1">
      <c r="I924" s="108"/>
    </row>
    <row r="925" ht="15.75" customHeight="1">
      <c r="I925" s="108"/>
    </row>
    <row r="926" ht="15.75" customHeight="1">
      <c r="I926" s="108"/>
    </row>
    <row r="927" ht="15.75" customHeight="1">
      <c r="I927" s="108"/>
    </row>
    <row r="928" ht="15.75" customHeight="1">
      <c r="I928" s="108"/>
    </row>
    <row r="929" ht="15.75" customHeight="1">
      <c r="I929" s="108"/>
    </row>
    <row r="930" ht="15.75" customHeight="1">
      <c r="I930" s="108"/>
    </row>
    <row r="931" ht="15.75" customHeight="1">
      <c r="I931" s="108"/>
    </row>
    <row r="932" ht="15.75" customHeight="1">
      <c r="I932" s="108"/>
    </row>
    <row r="933" ht="15.75" customHeight="1">
      <c r="I933" s="108"/>
    </row>
    <row r="934" ht="15.75" customHeight="1">
      <c r="I934" s="108"/>
    </row>
    <row r="935" ht="15.75" customHeight="1">
      <c r="I935" s="108"/>
    </row>
    <row r="936" ht="15.75" customHeight="1">
      <c r="I936" s="108"/>
    </row>
    <row r="937" ht="15.75" customHeight="1">
      <c r="I937" s="108"/>
    </row>
    <row r="938" ht="15.75" customHeight="1">
      <c r="I938" s="108"/>
    </row>
    <row r="939" ht="15.75" customHeight="1">
      <c r="I939" s="108"/>
    </row>
    <row r="940" ht="15.75" customHeight="1">
      <c r="I940" s="108"/>
    </row>
    <row r="941" ht="15.75" customHeight="1">
      <c r="I941" s="108"/>
    </row>
    <row r="942" ht="15.75" customHeight="1">
      <c r="I942" s="108"/>
    </row>
    <row r="943" ht="15.75" customHeight="1">
      <c r="I943" s="108"/>
    </row>
    <row r="944" ht="15.75" customHeight="1">
      <c r="I944" s="108"/>
    </row>
    <row r="945" ht="15.75" customHeight="1">
      <c r="I945" s="108"/>
    </row>
    <row r="946" ht="15.75" customHeight="1">
      <c r="I946" s="108"/>
    </row>
    <row r="947" ht="15.75" customHeight="1">
      <c r="I947" s="108"/>
    </row>
    <row r="948" ht="15.75" customHeight="1">
      <c r="I948" s="108"/>
    </row>
    <row r="949" ht="15.75" customHeight="1">
      <c r="I949" s="108"/>
    </row>
    <row r="950" ht="15.75" customHeight="1">
      <c r="I950" s="108"/>
    </row>
    <row r="951" ht="15.75" customHeight="1">
      <c r="I951" s="108"/>
    </row>
    <row r="952" ht="15.75" customHeight="1">
      <c r="I952" s="108"/>
    </row>
    <row r="953" ht="15.75" customHeight="1">
      <c r="I953" s="108"/>
    </row>
    <row r="954" ht="15.75" customHeight="1">
      <c r="I954" s="108"/>
    </row>
    <row r="955" ht="15.75" customHeight="1">
      <c r="I955" s="108"/>
    </row>
    <row r="956" ht="15.75" customHeight="1">
      <c r="I956" s="108"/>
    </row>
    <row r="957" ht="15.75" customHeight="1">
      <c r="I957" s="108"/>
    </row>
    <row r="958" ht="15.75" customHeight="1">
      <c r="I958" s="108"/>
    </row>
    <row r="959" ht="15.75" customHeight="1">
      <c r="I959" s="108"/>
    </row>
    <row r="960" ht="15.75" customHeight="1">
      <c r="I960" s="108"/>
    </row>
    <row r="961" ht="15.75" customHeight="1">
      <c r="I961" s="108"/>
    </row>
    <row r="962" ht="15.75" customHeight="1">
      <c r="I962" s="108"/>
    </row>
    <row r="963" ht="15.75" customHeight="1">
      <c r="I963" s="108"/>
    </row>
    <row r="964" ht="15.75" customHeight="1">
      <c r="I964" s="108"/>
    </row>
    <row r="965" ht="15.75" customHeight="1">
      <c r="I965" s="108"/>
    </row>
    <row r="966" ht="15.75" customHeight="1">
      <c r="I966" s="108"/>
    </row>
    <row r="967" ht="15.75" customHeight="1">
      <c r="I967" s="108"/>
    </row>
    <row r="968" ht="15.75" customHeight="1">
      <c r="I968" s="108"/>
    </row>
    <row r="969" ht="15.75" customHeight="1">
      <c r="I969" s="108"/>
    </row>
    <row r="970" ht="15.75" customHeight="1">
      <c r="I970" s="108"/>
    </row>
    <row r="971" ht="15.75" customHeight="1">
      <c r="I971" s="108"/>
    </row>
    <row r="972" ht="15.75" customHeight="1">
      <c r="I972" s="108"/>
    </row>
    <row r="973" ht="15.75" customHeight="1">
      <c r="I973" s="108"/>
    </row>
    <row r="974" ht="15.75" customHeight="1">
      <c r="I974" s="108"/>
    </row>
    <row r="975" ht="15.75" customHeight="1">
      <c r="I975" s="108"/>
    </row>
    <row r="976" ht="15.75" customHeight="1">
      <c r="I976" s="108"/>
    </row>
    <row r="977" ht="15.75" customHeight="1">
      <c r="I977" s="108"/>
    </row>
    <row r="978" ht="15.75" customHeight="1">
      <c r="I978" s="108"/>
    </row>
    <row r="979" ht="15.75" customHeight="1">
      <c r="I979" s="108"/>
    </row>
    <row r="980" ht="15.75" customHeight="1">
      <c r="I980" s="108"/>
    </row>
    <row r="981" ht="15.75" customHeight="1">
      <c r="I981" s="108"/>
    </row>
    <row r="982" ht="15.75" customHeight="1">
      <c r="I982" s="108"/>
    </row>
    <row r="983" ht="15.75" customHeight="1">
      <c r="I983" s="108"/>
    </row>
    <row r="984" ht="15.75" customHeight="1">
      <c r="I984" s="108"/>
    </row>
    <row r="985" ht="15.75" customHeight="1">
      <c r="I985" s="108"/>
    </row>
    <row r="986" ht="15.75" customHeight="1">
      <c r="I986" s="108"/>
    </row>
    <row r="987" ht="15.75" customHeight="1">
      <c r="I987" s="108"/>
    </row>
    <row r="988" ht="15.75" customHeight="1">
      <c r="I988" s="108"/>
    </row>
    <row r="989" ht="15.75" customHeight="1">
      <c r="I989" s="108"/>
    </row>
    <row r="990" ht="15.75" customHeight="1">
      <c r="I990" s="108"/>
    </row>
    <row r="991" ht="15.75" customHeight="1">
      <c r="I991" s="108"/>
    </row>
    <row r="992" ht="15.75" customHeight="1">
      <c r="I992" s="108"/>
    </row>
    <row r="993" ht="15.75" customHeight="1">
      <c r="I993" s="108"/>
    </row>
    <row r="994" ht="15.75" customHeight="1">
      <c r="I994" s="108"/>
    </row>
    <row r="995" ht="15.75" customHeight="1">
      <c r="I995" s="108"/>
    </row>
    <row r="996" ht="15.75" customHeight="1">
      <c r="I996" s="108"/>
    </row>
    <row r="997" ht="15.75" customHeight="1">
      <c r="I997" s="108"/>
    </row>
  </sheetData>
  <hyperlinks>
    <hyperlink r:id="rId1" ref="A7"/>
    <hyperlink r:id="rId2" ref="A8"/>
    <hyperlink r:id="rId3" ref="A9"/>
    <hyperlink r:id="rId4" ref="C9"/>
    <hyperlink r:id="rId5" ref="A10"/>
    <hyperlink r:id="rId6" ref="A11"/>
    <hyperlink r:id="rId7" ref="C11"/>
    <hyperlink r:id="rId8" ref="A12"/>
    <hyperlink r:id="rId9" ref="C12"/>
    <hyperlink r:id="rId10" ref="A13"/>
    <hyperlink r:id="rId11" ref="A14"/>
  </hyperlinks>
  <drawing r:id="rId12"/>
</worksheet>
</file>