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1"/>
  </bookViews>
  <sheets>
    <sheet name="Kararlı durum N=7" sheetId="5" r:id="rId1"/>
    <sheet name="Kararlı durum N=12" sheetId="1" r:id="rId2"/>
    <sheet name="Vac Hesap" sheetId="2" r:id="rId3"/>
    <sheet name="Vpv Hesap" sheetId="4" r:id="rId4"/>
    <sheet name="PI Hessaplamalar" sheetId="6" r:id="rId5"/>
    <sheet name="AC Akım" sheetId="7" r:id="rId6"/>
    <sheet name="Q15 Sin Table" sheetId="3" r:id="rId7"/>
  </sheets>
  <definedNames>
    <definedName name="tablo">'Q15 Sin Table'!$A:$A</definedName>
  </definedNames>
  <calcPr calcId="144525"/>
</workbook>
</file>

<file path=xl/calcChain.xml><?xml version="1.0" encoding="utf-8"?>
<calcChain xmlns="http://schemas.openxmlformats.org/spreadsheetml/2006/main">
  <c r="P19" i="1" l="1"/>
  <c r="P12" i="1"/>
  <c r="P13" i="1"/>
  <c r="P14" i="1"/>
  <c r="P15" i="1"/>
  <c r="P16" i="1"/>
  <c r="P17" i="1"/>
  <c r="P18" i="1"/>
  <c r="P11" i="1"/>
  <c r="M12" i="1"/>
  <c r="M13" i="1"/>
  <c r="M14" i="1"/>
  <c r="M15" i="1"/>
  <c r="M16" i="1"/>
  <c r="M17" i="1"/>
  <c r="M18" i="1"/>
  <c r="M19" i="1"/>
  <c r="M11" i="1"/>
  <c r="E20" i="2"/>
  <c r="F20" i="2" s="1"/>
  <c r="C25" i="2"/>
  <c r="E25" i="2" s="1"/>
  <c r="F25" i="2" s="1"/>
  <c r="G25" i="2" l="1"/>
  <c r="H25" i="2"/>
  <c r="I25" i="2" s="1"/>
  <c r="J25" i="2" s="1"/>
  <c r="C14" i="1" l="1"/>
  <c r="D14" i="1" s="1"/>
  <c r="C18" i="1"/>
  <c r="D18" i="1" s="1"/>
  <c r="C11" i="1"/>
  <c r="D11" i="1" s="1"/>
  <c r="C15" i="1"/>
  <c r="D15" i="1" s="1"/>
  <c r="C19" i="1"/>
  <c r="D19" i="1" s="1"/>
  <c r="C12" i="1"/>
  <c r="D12" i="1" s="1"/>
  <c r="C16" i="1"/>
  <c r="D16" i="1" s="1"/>
  <c r="C13" i="1"/>
  <c r="D13" i="1" s="1"/>
  <c r="C17" i="1"/>
  <c r="D17" i="1" s="1"/>
  <c r="L25" i="2"/>
  <c r="K25" i="2"/>
  <c r="Q12" i="7"/>
  <c r="E5" i="6"/>
  <c r="E6" i="6"/>
  <c r="E7" i="6"/>
  <c r="E8" i="6"/>
  <c r="E9" i="6"/>
  <c r="E10" i="6"/>
  <c r="E11" i="6"/>
  <c r="E12" i="6"/>
  <c r="E4" i="6"/>
  <c r="S18" i="7"/>
  <c r="R18" i="7"/>
  <c r="Q18" i="7"/>
  <c r="P18" i="7"/>
  <c r="O18" i="7"/>
  <c r="N18" i="7"/>
  <c r="M18" i="7"/>
  <c r="K13" i="7"/>
  <c r="M13" i="7" s="1"/>
  <c r="N13" i="7" s="1"/>
  <c r="O13" i="7" s="1"/>
  <c r="E25" i="7"/>
  <c r="F25" i="7" s="1"/>
  <c r="E26" i="7"/>
  <c r="F26" i="7" s="1"/>
  <c r="H5" i="6"/>
  <c r="H6" i="6"/>
  <c r="H7" i="6"/>
  <c r="H8" i="6"/>
  <c r="H9" i="6"/>
  <c r="H10" i="6"/>
  <c r="H11" i="6"/>
  <c r="H12" i="6"/>
  <c r="G5" i="6"/>
  <c r="G6" i="6"/>
  <c r="G7" i="6"/>
  <c r="G8" i="6"/>
  <c r="G9" i="6"/>
  <c r="G10" i="6"/>
  <c r="G11" i="6"/>
  <c r="G12" i="6"/>
  <c r="B5" i="6"/>
  <c r="D5" i="6" s="1"/>
  <c r="B6" i="6"/>
  <c r="D6" i="6" s="1"/>
  <c r="B7" i="6"/>
  <c r="D7" i="6" s="1"/>
  <c r="B8" i="6"/>
  <c r="D8" i="6" s="1"/>
  <c r="B9" i="6"/>
  <c r="D9" i="6" s="1"/>
  <c r="B10" i="6"/>
  <c r="D10" i="6" s="1"/>
  <c r="B11" i="6"/>
  <c r="D11" i="6" s="1"/>
  <c r="B12" i="6"/>
  <c r="D12" i="6" s="1"/>
  <c r="B4" i="6"/>
  <c r="D4" i="6" s="1"/>
  <c r="H4" i="6"/>
  <c r="G4" i="6"/>
  <c r="K12" i="7"/>
  <c r="M12" i="7" s="1"/>
  <c r="N12" i="7" s="1"/>
  <c r="M10" i="7"/>
  <c r="N10" i="7" s="1"/>
  <c r="O10" i="7" s="1"/>
  <c r="K9" i="7"/>
  <c r="M9" i="7" s="1"/>
  <c r="N9" i="7" s="1"/>
  <c r="O9" i="7" s="1"/>
  <c r="L10" i="7"/>
  <c r="K10" i="7"/>
  <c r="S17" i="7"/>
  <c r="M17" i="7"/>
  <c r="N17" i="7" s="1"/>
  <c r="P17" i="7" s="1"/>
  <c r="G20" i="7"/>
  <c r="H20" i="7" s="1"/>
  <c r="G19" i="7"/>
  <c r="H19" i="7" s="1"/>
  <c r="K8" i="7"/>
  <c r="M8" i="7" s="1"/>
  <c r="N8" i="7" s="1"/>
  <c r="O8" i="7" s="1"/>
  <c r="Q13" i="7" l="1"/>
  <c r="R13" i="7" s="1"/>
  <c r="S13" i="7" s="1"/>
  <c r="P13" i="7"/>
  <c r="L13" i="7"/>
  <c r="O12" i="7"/>
  <c r="R12" i="7" s="1"/>
  <c r="L12" i="7"/>
  <c r="L9" i="7"/>
  <c r="Q9" i="7"/>
  <c r="R9" i="7" s="1"/>
  <c r="S9" i="7" s="1"/>
  <c r="P9" i="7"/>
  <c r="Q10" i="7"/>
  <c r="R10" i="7" s="1"/>
  <c r="S10" i="7" s="1"/>
  <c r="P10" i="7"/>
  <c r="O17" i="7"/>
  <c r="Q17" i="7"/>
  <c r="R17" i="7" s="1"/>
  <c r="Q8" i="7"/>
  <c r="R8" i="7" s="1"/>
  <c r="S8" i="7" s="1"/>
  <c r="P8" i="7"/>
  <c r="L8" i="7"/>
  <c r="M5" i="5"/>
  <c r="C20" i="2"/>
  <c r="F6" i="6" l="1"/>
  <c r="F7" i="6"/>
  <c r="F4" i="6"/>
  <c r="S12" i="7"/>
  <c r="F8" i="6"/>
  <c r="F12" i="6"/>
  <c r="F9" i="6"/>
  <c r="F10" i="6"/>
  <c r="F11" i="6"/>
  <c r="F5" i="6"/>
  <c r="P12" i="7"/>
  <c r="K5" i="5"/>
  <c r="K5" i="1"/>
  <c r="Q13" i="1"/>
  <c r="Q14" i="1"/>
  <c r="Q15" i="1"/>
  <c r="Q16" i="1"/>
  <c r="Q17" i="1"/>
  <c r="Q18" i="1"/>
  <c r="Q19" i="1"/>
  <c r="Q12" i="1"/>
  <c r="Q11" i="1"/>
  <c r="N19" i="5"/>
  <c r="O19" i="5" s="1"/>
  <c r="R19" i="5" s="1"/>
  <c r="B19" i="5"/>
  <c r="A19" i="5"/>
  <c r="N18" i="5"/>
  <c r="O18" i="5" s="1"/>
  <c r="R18" i="5" s="1"/>
  <c r="B18" i="5"/>
  <c r="A18" i="5"/>
  <c r="N17" i="5"/>
  <c r="B17" i="5"/>
  <c r="A17" i="5"/>
  <c r="N16" i="5"/>
  <c r="B16" i="5"/>
  <c r="A16" i="5"/>
  <c r="N15" i="5"/>
  <c r="O15" i="5" s="1"/>
  <c r="R15" i="5" s="1"/>
  <c r="B15" i="5"/>
  <c r="A15" i="5"/>
  <c r="N14" i="5"/>
  <c r="O14" i="5" s="1"/>
  <c r="R14" i="5" s="1"/>
  <c r="B14" i="5"/>
  <c r="A14" i="5"/>
  <c r="N13" i="5"/>
  <c r="B13" i="5"/>
  <c r="A13" i="5"/>
  <c r="O13" i="5" s="1"/>
  <c r="R13" i="5" s="1"/>
  <c r="N12" i="5"/>
  <c r="B12" i="5"/>
  <c r="A12" i="5"/>
  <c r="O12" i="5" s="1"/>
  <c r="R12" i="5" s="1"/>
  <c r="N11" i="5"/>
  <c r="B11" i="5"/>
  <c r="A11" i="5"/>
  <c r="I5" i="5"/>
  <c r="E3" i="5"/>
  <c r="D3" i="5"/>
  <c r="I5" i="1"/>
  <c r="N12" i="1"/>
  <c r="N13" i="1"/>
  <c r="N14" i="1"/>
  <c r="N15" i="1"/>
  <c r="N16" i="1"/>
  <c r="N17" i="1"/>
  <c r="N18" i="1"/>
  <c r="N19" i="1"/>
  <c r="A12" i="1"/>
  <c r="A13" i="1"/>
  <c r="A14" i="1"/>
  <c r="A15" i="1"/>
  <c r="A16" i="1"/>
  <c r="A17" i="1"/>
  <c r="A18" i="1"/>
  <c r="A19" i="1"/>
  <c r="A11" i="1"/>
  <c r="B19" i="1"/>
  <c r="B12" i="1"/>
  <c r="B13" i="1"/>
  <c r="B14" i="1"/>
  <c r="B15" i="1"/>
  <c r="B16" i="1"/>
  <c r="B17" i="1"/>
  <c r="B18" i="1"/>
  <c r="F11" i="3"/>
  <c r="F10" i="3"/>
  <c r="F9" i="3"/>
  <c r="F8" i="3"/>
  <c r="F7" i="3"/>
  <c r="F6" i="3"/>
  <c r="F5" i="3"/>
  <c r="F4" i="3"/>
  <c r="F3" i="3"/>
  <c r="E4" i="3"/>
  <c r="E5" i="3"/>
  <c r="E6" i="3"/>
  <c r="E7" i="3"/>
  <c r="E8" i="3"/>
  <c r="E9" i="3"/>
  <c r="E10" i="3"/>
  <c r="E11" i="3"/>
  <c r="C16" i="4"/>
  <c r="D16" i="4" s="1"/>
  <c r="B19" i="2"/>
  <c r="C19" i="2" s="1"/>
  <c r="E3" i="3"/>
  <c r="N11" i="1"/>
  <c r="E19" i="2" l="1"/>
  <c r="F19" i="2" s="1"/>
  <c r="H19" i="2" s="1"/>
  <c r="I19" i="2" s="1"/>
  <c r="H20" i="2"/>
  <c r="I20" i="2" s="1"/>
  <c r="J20" i="2" s="1"/>
  <c r="K20" i="2"/>
  <c r="G20" i="2"/>
  <c r="I5" i="6"/>
  <c r="I9" i="6"/>
  <c r="I11" i="6"/>
  <c r="I12" i="6"/>
  <c r="I10" i="6"/>
  <c r="I8" i="6"/>
  <c r="I4" i="6"/>
  <c r="J4" i="6"/>
  <c r="J5" i="6" s="1"/>
  <c r="J6" i="6" s="1"/>
  <c r="J7" i="6" s="1"/>
  <c r="J8" i="6" s="1"/>
  <c r="J9" i="6" s="1"/>
  <c r="J10" i="6" s="1"/>
  <c r="J11" i="6" s="1"/>
  <c r="J12" i="6" s="1"/>
  <c r="I6" i="6"/>
  <c r="I7" i="6"/>
  <c r="O11" i="5"/>
  <c r="R11" i="5" s="1"/>
  <c r="O16" i="5"/>
  <c r="R16" i="5" s="1"/>
  <c r="O17" i="5"/>
  <c r="R17" i="5" s="1"/>
  <c r="O19" i="1"/>
  <c r="R19" i="1" s="1"/>
  <c r="O15" i="1"/>
  <c r="R15" i="1" s="1"/>
  <c r="O11" i="1"/>
  <c r="O17" i="1"/>
  <c r="R17" i="1" s="1"/>
  <c r="O13" i="1"/>
  <c r="R13" i="1" s="1"/>
  <c r="M5" i="1"/>
  <c r="E11" i="1" s="1"/>
  <c r="E10" i="1"/>
  <c r="O18" i="1"/>
  <c r="R18" i="1" s="1"/>
  <c r="O14" i="1"/>
  <c r="R14" i="1" s="1"/>
  <c r="O16" i="1"/>
  <c r="R16" i="1" s="1"/>
  <c r="O12" i="1"/>
  <c r="R12" i="1" s="1"/>
  <c r="B11" i="1"/>
  <c r="F16" i="4"/>
  <c r="G16" i="4" s="1"/>
  <c r="E16" i="4"/>
  <c r="H16" i="4" l="1"/>
  <c r="F12" i="1"/>
  <c r="F16" i="1"/>
  <c r="F11" i="1"/>
  <c r="F11" i="5"/>
  <c r="F14" i="1"/>
  <c r="F19" i="1"/>
  <c r="F19" i="5"/>
  <c r="F18" i="5"/>
  <c r="F17" i="5"/>
  <c r="F16" i="5"/>
  <c r="F15" i="5"/>
  <c r="F14" i="5"/>
  <c r="F13" i="5"/>
  <c r="F12" i="5"/>
  <c r="F13" i="1"/>
  <c r="F17" i="1"/>
  <c r="F18" i="1"/>
  <c r="F15" i="1"/>
  <c r="G19" i="2"/>
  <c r="K19" i="2"/>
  <c r="G11" i="1"/>
  <c r="H11" i="1" s="1"/>
  <c r="K12" i="6"/>
  <c r="K8" i="6"/>
  <c r="K9" i="6"/>
  <c r="K4" i="6"/>
  <c r="K11" i="6"/>
  <c r="K7" i="6"/>
  <c r="K5" i="6"/>
  <c r="K6" i="6"/>
  <c r="K10" i="6"/>
  <c r="C19" i="5"/>
  <c r="D19" i="5" s="1"/>
  <c r="G19" i="5" s="1"/>
  <c r="H19" i="5" s="1"/>
  <c r="I19" i="5" s="1"/>
  <c r="J19" i="5" s="1"/>
  <c r="K19" i="5" s="1"/>
  <c r="C11" i="5"/>
  <c r="D11" i="5" s="1"/>
  <c r="G11" i="5" s="1"/>
  <c r="H11" i="5" s="1"/>
  <c r="I11" i="5" s="1"/>
  <c r="J11" i="5" s="1"/>
  <c r="K11" i="5" s="1"/>
  <c r="E17" i="1"/>
  <c r="E19" i="1"/>
  <c r="E14" i="1"/>
  <c r="E15" i="1"/>
  <c r="E13" i="1"/>
  <c r="C17" i="5"/>
  <c r="D17" i="5" s="1"/>
  <c r="G17" i="5" s="1"/>
  <c r="H17" i="5" s="1"/>
  <c r="I17" i="5" s="1"/>
  <c r="J17" i="5" s="1"/>
  <c r="K17" i="5" s="1"/>
  <c r="C15" i="5"/>
  <c r="D15" i="5" s="1"/>
  <c r="G15" i="5" s="1"/>
  <c r="H15" i="5" s="1"/>
  <c r="I15" i="5" s="1"/>
  <c r="J15" i="5" s="1"/>
  <c r="K15" i="5" s="1"/>
  <c r="C16" i="5"/>
  <c r="D16" i="5" s="1"/>
  <c r="G16" i="5" s="1"/>
  <c r="H16" i="5" s="1"/>
  <c r="I16" i="5" s="1"/>
  <c r="J16" i="5" s="1"/>
  <c r="K16" i="5" s="1"/>
  <c r="C18" i="5"/>
  <c r="D18" i="5" s="1"/>
  <c r="C13" i="5"/>
  <c r="D13" i="5" s="1"/>
  <c r="G13" i="5" s="1"/>
  <c r="H13" i="5" s="1"/>
  <c r="I13" i="5" s="1"/>
  <c r="J13" i="5" s="1"/>
  <c r="K13" i="5" s="1"/>
  <c r="C14" i="5"/>
  <c r="D14" i="5" s="1"/>
  <c r="C12" i="5"/>
  <c r="D12" i="5" s="1"/>
  <c r="G12" i="5" s="1"/>
  <c r="H12" i="5" s="1"/>
  <c r="I12" i="5" s="1"/>
  <c r="J12" i="5" s="1"/>
  <c r="K12" i="5" s="1"/>
  <c r="E12" i="1"/>
  <c r="E18" i="1"/>
  <c r="E16" i="1"/>
  <c r="J19" i="2"/>
  <c r="G14" i="5" l="1"/>
  <c r="H14" i="5" s="1"/>
  <c r="I14" i="5" s="1"/>
  <c r="J14" i="5" s="1"/>
  <c r="K14" i="5" s="1"/>
  <c r="G18" i="5"/>
  <c r="H18" i="5" s="1"/>
  <c r="I18" i="5" s="1"/>
  <c r="J18" i="5" s="1"/>
  <c r="K18" i="5" s="1"/>
  <c r="I11" i="1"/>
  <c r="G17" i="1"/>
  <c r="H17" i="1" s="1"/>
  <c r="G19" i="1"/>
  <c r="H19" i="1" s="1"/>
  <c r="I19" i="1" s="1"/>
  <c r="J19" i="1" s="1"/>
  <c r="K19" i="1" s="1"/>
  <c r="G18" i="1"/>
  <c r="H18" i="1" s="1"/>
  <c r="I18" i="1" s="1"/>
  <c r="J18" i="1" s="1"/>
  <c r="K18" i="1" s="1"/>
  <c r="G15" i="1"/>
  <c r="H15" i="1" s="1"/>
  <c r="I15" i="1" s="1"/>
  <c r="J15" i="1" s="1"/>
  <c r="K15" i="1" s="1"/>
  <c r="G16" i="1"/>
  <c r="H16" i="1" s="1"/>
  <c r="I16" i="1" s="1"/>
  <c r="J16" i="1" s="1"/>
  <c r="K16" i="1" s="1"/>
  <c r="G13" i="1"/>
  <c r="H13" i="1" s="1"/>
  <c r="I13" i="1" s="1"/>
  <c r="J13" i="1" s="1"/>
  <c r="K13" i="1" s="1"/>
  <c r="G12" i="1"/>
  <c r="H12" i="1" s="1"/>
  <c r="I12" i="1" s="1"/>
  <c r="J12" i="1" s="1"/>
  <c r="K12" i="1" s="1"/>
  <c r="G14" i="1"/>
  <c r="H14" i="1" s="1"/>
  <c r="I14" i="1" s="1"/>
  <c r="J14" i="1" s="1"/>
  <c r="K14" i="1" s="1"/>
  <c r="I17" i="1"/>
  <c r="J17" i="1" s="1"/>
  <c r="K17" i="1" s="1"/>
  <c r="R11" i="1" l="1"/>
  <c r="E3" i="1" l="1"/>
  <c r="D3" i="1"/>
  <c r="J11" i="1" l="1"/>
  <c r="K11" i="1" s="1"/>
</calcChain>
</file>

<file path=xl/comments1.xml><?xml version="1.0" encoding="utf-8"?>
<comments xmlns="http://schemas.openxmlformats.org/spreadsheetml/2006/main">
  <authors>
    <author>Yazar</author>
  </authors>
  <commentList>
    <comment ref="D18" authorId="0">
      <text>
        <r>
          <rPr>
            <sz val="9"/>
            <color indexed="81"/>
            <rFont val="Tahoma"/>
            <family val="2"/>
            <charset val="162"/>
          </rPr>
          <t xml:space="preserve">TR1 giriş primer seri bağlı ise 230V giriş gerilimi ve sekonder,
çıkış paralel bağlı ise 5V çıkış gerilimi olur.
N=230/5=46 olur...
</t>
        </r>
      </text>
    </comment>
    <comment ref="H18" authorId="0">
      <text>
        <r>
          <rPr>
            <b/>
            <sz val="9"/>
            <color indexed="81"/>
            <rFont val="Tahoma"/>
            <family val="2"/>
            <charset val="162"/>
          </rPr>
          <t xml:space="preserve">ADC 10bit ölçüm yaptığı için Q15 formatı için 5bit sola kaydırmak gerekiyor
</t>
        </r>
      </text>
    </comment>
  </commentList>
</comments>
</file>

<file path=xl/sharedStrings.xml><?xml version="1.0" encoding="utf-8"?>
<sst xmlns="http://schemas.openxmlformats.org/spreadsheetml/2006/main" count="165" uniqueCount="87">
  <si>
    <t>rectifiedVac</t>
  </si>
  <si>
    <t>currentReferenceDynamic</t>
  </si>
  <si>
    <t>peakInverterOutputVoltage</t>
  </si>
  <si>
    <t>Q13</t>
  </si>
  <si>
    <t>Q15</t>
  </si>
  <si>
    <t>Q14</t>
  </si>
  <si>
    <t>pvPanelVoltage</t>
  </si>
  <si>
    <t>decoupleTerm</t>
  </si>
  <si>
    <t>totalOutput</t>
  </si>
  <si>
    <t>MAXDUTYCLAMPED 24575</t>
  </si>
  <si>
    <t>// Maximum duty cycle of 75% in Q15 format</t>
  </si>
  <si>
    <t>%PWM</t>
  </si>
  <si>
    <t xml:space="preserve">FLYBACKPERIOD </t>
  </si>
  <si>
    <t>flybackDutyCycle</t>
  </si>
  <si>
    <t>Vo</t>
  </si>
  <si>
    <t xml:space="preserve">Vin </t>
  </si>
  <si>
    <t>N</t>
  </si>
  <si>
    <t>D</t>
  </si>
  <si>
    <t>Vpeak</t>
  </si>
  <si>
    <t>Vgrid</t>
  </si>
  <si>
    <t>Açı</t>
  </si>
  <si>
    <t>değer</t>
  </si>
  <si>
    <t>eleman</t>
  </si>
  <si>
    <t>Vgrid_pk</t>
  </si>
  <si>
    <t>NTR1</t>
  </si>
  <si>
    <t>AC_VOLTAGE</t>
  </si>
  <si>
    <t>ADC</t>
  </si>
  <si>
    <t>Bin</t>
  </si>
  <si>
    <t>5 Bit sola kaydir</t>
  </si>
  <si>
    <t>Fixed Point Deger</t>
  </si>
  <si>
    <t>Kesirli</t>
  </si>
  <si>
    <t>FixPoint Sağlaması</t>
  </si>
  <si>
    <t>10bit</t>
  </si>
  <si>
    <t>Vpv</t>
  </si>
  <si>
    <t>PV_VOLTAGE</t>
  </si>
  <si>
    <t>currentReferenceDynamic  için;</t>
  </si>
  <si>
    <t xml:space="preserve"> // pvPanel Voltage is multiplied by Q15(0.89) to have the same per unit as the rectifiedVac</t>
  </si>
  <si>
    <t xml:space="preserve">    // and both are in Q13 format (56.1 * turns ratio = 392.7, 392/445 = 0.89)</t>
  </si>
  <si>
    <t>Fixed Point</t>
  </si>
  <si>
    <t>Vpv*N</t>
  </si>
  <si>
    <t>VoutMAX</t>
  </si>
  <si>
    <t>Q Bit sola kaydir</t>
  </si>
  <si>
    <t>***yazılımdaki haatalı durum…..</t>
  </si>
  <si>
    <t>VADC</t>
  </si>
  <si>
    <t>I(A)</t>
  </si>
  <si>
    <t>Vout</t>
  </si>
  <si>
    <t>Vout-2,5</t>
  </si>
  <si>
    <t>V_ACS712</t>
  </si>
  <si>
    <t>AC_CURRENT</t>
  </si>
  <si>
    <t>Binary</t>
  </si>
  <si>
    <t>ACS712ELCTR-05B-T</t>
  </si>
  <si>
    <t>Vout=</t>
  </si>
  <si>
    <t>2,5V (+-)185mv/1A</t>
  </si>
  <si>
    <t>Vadc=I*185*4,1875</t>
  </si>
  <si>
    <t>I</t>
  </si>
  <si>
    <t>mV/A</t>
  </si>
  <si>
    <t>Kazanç</t>
  </si>
  <si>
    <t>Vac_current</t>
  </si>
  <si>
    <t>Sağlaması</t>
  </si>
  <si>
    <t>// Inverter Output Current Max Rating</t>
  </si>
  <si>
    <t>#define INVERTER_OUTPUTCURRENT_MAX 13000</t>
  </si>
  <si>
    <t>// At 210Vac full load, expected peak inverter output current ~1.6A.</t>
  </si>
  <si>
    <t xml:space="preserve">// This current * gain of 185mV/A * gain of U5, measured by the ADC </t>
  </si>
  <si>
    <t xml:space="preserve">// and converted to Q15. Subtract off the offset </t>
  </si>
  <si>
    <t>mpptFactor</t>
  </si>
  <si>
    <t>IoRef</t>
  </si>
  <si>
    <t>currentError</t>
  </si>
  <si>
    <t>rectifiedInverterOutputCurrent</t>
  </si>
  <si>
    <t xml:space="preserve">Ra Q15(0.18) </t>
  </si>
  <si>
    <t>Rsa Q15(0.02)</t>
  </si>
  <si>
    <t>Poutput</t>
  </si>
  <si>
    <t>Ioutput</t>
  </si>
  <si>
    <t xml:space="preserve">// Compensator Software </t>
  </si>
  <si>
    <t xml:space="preserve">    IoRef = (__builtin_mulss((int)currentReferenceDynamic,(int)mpptFactor) &gt;&gt; 15);</t>
  </si>
  <si>
    <t xml:space="preserve">    currentError = IoRef - (rectifiedInverterOutputCurrent &lt;&lt; 1);</t>
  </si>
  <si>
    <t xml:space="preserve">    Poutput = (__builtin_mulss(currentError,Ra)) &gt;&gt; 15;</t>
  </si>
  <si>
    <t xml:space="preserve">    Ioutput  =  Ioutput + (long)((__builtin_mulss((int)currentError,(int)Rsa)) &gt;&gt; 15);</t>
  </si>
  <si>
    <t xml:space="preserve">  totalOutput = (long)Poutput + Ioutput;</t>
  </si>
  <si>
    <t>*** hatalı olabilir….</t>
  </si>
  <si>
    <t>derece</t>
  </si>
  <si>
    <t>Sin</t>
  </si>
  <si>
    <t>Iac_peak</t>
  </si>
  <si>
    <t>Iac</t>
  </si>
  <si>
    <t>Vac</t>
  </si>
  <si>
    <t>Pout</t>
  </si>
  <si>
    <t>inverterOutputVoltage = (ADCBUF7 &lt;&lt; 5) - referenceVoltage;</t>
  </si>
  <si>
    <t>2,5V çıkar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</si>
</sst>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9"/>
      <color indexed="81"/>
      <name val="Tahoma"/>
      <family val="2"/>
      <charset val="162"/>
    </font>
    <font>
      <b/>
      <sz val="11"/>
      <color rgb="FFFF0000"/>
      <name val="Calibri"/>
      <family val="2"/>
      <charset val="162"/>
      <scheme val="minor"/>
    </font>
    <font>
      <sz val="9"/>
      <color indexed="81"/>
      <name val="Tahoma"/>
      <family val="2"/>
      <charset val="162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charset val="162"/>
      <scheme val="minor"/>
    </font>
    <font>
      <sz val="12"/>
      <color rgb="FFFF0000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2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12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0" fontId="0" fillId="0" borderId="0" xfId="0" applyAlignment="1">
      <alignment wrapText="1"/>
    </xf>
    <xf numFmtId="0" fontId="0" fillId="4" borderId="0" xfId="0" applyFill="1"/>
    <xf numFmtId="0" fontId="0" fillId="0" borderId="4" xfId="0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4" borderId="0" xfId="0" applyFill="1" applyBorder="1"/>
    <xf numFmtId="0" fontId="0" fillId="4" borderId="7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7" fillId="0" borderId="6" xfId="0" applyFont="1" applyBorder="1"/>
    <xf numFmtId="0" fontId="0" fillId="6" borderId="0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9" fillId="6" borderId="0" xfId="0" applyFont="1" applyFill="1"/>
    <xf numFmtId="0" fontId="1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6" borderId="10" xfId="0" applyFill="1" applyBorder="1" applyAlignment="1">
      <alignment horizontal="center" vertical="center" wrapText="1"/>
    </xf>
    <xf numFmtId="0" fontId="9" fillId="0" borderId="0" xfId="0" applyFont="1"/>
    <xf numFmtId="0" fontId="7" fillId="0" borderId="0" xfId="0" applyFont="1"/>
    <xf numFmtId="0" fontId="0" fillId="5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300680</xdr:colOff>
      <xdr:row>14</xdr:row>
      <xdr:rowOff>87630</xdr:rowOff>
    </xdr:to>
    <xdr:pic>
      <xdr:nvPicPr>
        <xdr:cNvPr id="2" name="Resi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61588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556260</xdr:colOff>
      <xdr:row>0</xdr:row>
      <xdr:rowOff>106680</xdr:rowOff>
    </xdr:from>
    <xdr:to>
      <xdr:col>15</xdr:col>
      <xdr:colOff>121920</xdr:colOff>
      <xdr:row>7</xdr:row>
      <xdr:rowOff>106680</xdr:rowOff>
    </xdr:to>
    <xdr:pic>
      <xdr:nvPicPr>
        <xdr:cNvPr id="3" name="Resi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1460" y="106680"/>
          <a:ext cx="3710940" cy="128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7620</xdr:rowOff>
    </xdr:from>
    <xdr:to>
      <xdr:col>5</xdr:col>
      <xdr:colOff>163349</xdr:colOff>
      <xdr:row>11</xdr:row>
      <xdr:rowOff>161925</xdr:rowOff>
    </xdr:to>
    <xdr:pic>
      <xdr:nvPicPr>
        <xdr:cNvPr id="2" name="Resi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7620"/>
          <a:ext cx="3173249" cy="21659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533400</xdr:colOff>
      <xdr:row>1</xdr:row>
      <xdr:rowOff>83820</xdr:rowOff>
    </xdr:from>
    <xdr:to>
      <xdr:col>10</xdr:col>
      <xdr:colOff>160020</xdr:colOff>
      <xdr:row>6</xdr:row>
      <xdr:rowOff>7620</xdr:rowOff>
    </xdr:to>
    <xdr:pic>
      <xdr:nvPicPr>
        <xdr:cNvPr id="3" name="Resi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266700"/>
          <a:ext cx="374142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590549</xdr:colOff>
      <xdr:row>11</xdr:row>
      <xdr:rowOff>129596</xdr:rowOff>
    </xdr:to>
    <xdr:pic>
      <xdr:nvPicPr>
        <xdr:cNvPr id="2" name="Resi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467349" cy="2507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15240</xdr:colOff>
      <xdr:row>0</xdr:row>
      <xdr:rowOff>60960</xdr:rowOff>
    </xdr:from>
    <xdr:to>
      <xdr:col>14</xdr:col>
      <xdr:colOff>344805</xdr:colOff>
      <xdr:row>3</xdr:row>
      <xdr:rowOff>127635</xdr:rowOff>
    </xdr:to>
    <xdr:pic>
      <xdr:nvPicPr>
        <xdr:cNvPr id="3" name="Resi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1640" y="60960"/>
          <a:ext cx="4352925" cy="6153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22861</xdr:rowOff>
    </xdr:from>
    <xdr:to>
      <xdr:col>4</xdr:col>
      <xdr:colOff>37097</xdr:colOff>
      <xdr:row>22</xdr:row>
      <xdr:rowOff>7621</xdr:rowOff>
    </xdr:to>
    <xdr:pic>
      <xdr:nvPicPr>
        <xdr:cNvPr id="4" name="Resi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6061"/>
          <a:ext cx="2475497" cy="167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Q16" sqref="Q16"/>
    </sheetView>
  </sheetViews>
  <sheetFormatPr defaultRowHeight="14.4" x14ac:dyDescent="0.3"/>
  <cols>
    <col min="1" max="1" width="4.6640625" customWidth="1"/>
    <col min="2" max="2" width="13.21875" customWidth="1"/>
    <col min="3" max="3" width="16.77734375" customWidth="1"/>
    <col min="4" max="4" width="13.88671875" customWidth="1"/>
    <col min="6" max="6" width="16.5546875" customWidth="1"/>
    <col min="7" max="7" width="10.77734375" customWidth="1"/>
    <col min="8" max="8" width="7.88671875" customWidth="1"/>
    <col min="9" max="9" width="11.44140625" customWidth="1"/>
    <col min="10" max="10" width="15.6640625" bestFit="1" customWidth="1"/>
    <col min="12" max="12" width="1.21875" customWidth="1"/>
  </cols>
  <sheetData>
    <row r="1" spans="1:18" x14ac:dyDescent="0.3">
      <c r="B1" s="3" t="s">
        <v>9</v>
      </c>
      <c r="C1" s="4" t="s">
        <v>10</v>
      </c>
      <c r="D1" s="4"/>
      <c r="E1" s="5"/>
      <c r="H1" t="s">
        <v>36</v>
      </c>
    </row>
    <row r="2" spans="1:18" x14ac:dyDescent="0.3">
      <c r="B2" s="6" t="s">
        <v>12</v>
      </c>
      <c r="C2" s="7"/>
      <c r="D2" s="7"/>
      <c r="E2" s="8" t="s">
        <v>4</v>
      </c>
      <c r="H2" t="s">
        <v>37</v>
      </c>
    </row>
    <row r="3" spans="1:18" ht="15.6" x14ac:dyDescent="0.3">
      <c r="B3" s="54">
        <v>16864</v>
      </c>
      <c r="C3" s="10">
        <v>0.75</v>
      </c>
      <c r="D3" s="10">
        <f>B3*C3</f>
        <v>12648</v>
      </c>
      <c r="E3" s="11">
        <f>32767*C3</f>
        <v>24575.25</v>
      </c>
    </row>
    <row r="4" spans="1:18" x14ac:dyDescent="0.3">
      <c r="C4" s="7"/>
      <c r="D4" s="7"/>
      <c r="E4" s="7"/>
      <c r="F4" s="7"/>
      <c r="G4" s="2" t="s">
        <v>33</v>
      </c>
      <c r="H4" s="2" t="s">
        <v>16</v>
      </c>
      <c r="I4" s="2" t="s">
        <v>39</v>
      </c>
      <c r="J4" s="2" t="s">
        <v>40</v>
      </c>
      <c r="K4" s="2"/>
      <c r="L4" s="2"/>
      <c r="M4" s="2" t="s">
        <v>38</v>
      </c>
      <c r="N4" s="2"/>
    </row>
    <row r="5" spans="1:18" x14ac:dyDescent="0.3">
      <c r="B5" s="2"/>
      <c r="C5" s="13"/>
      <c r="D5" s="13"/>
      <c r="E5" s="13"/>
      <c r="F5" s="13"/>
      <c r="G5" s="16">
        <v>56.1</v>
      </c>
      <c r="H5" s="16">
        <v>7</v>
      </c>
      <c r="I5" s="16">
        <f>FLOOR(G5*H5,1)</f>
        <v>392</v>
      </c>
      <c r="J5" s="16">
        <v>445</v>
      </c>
      <c r="K5" s="16">
        <f>ROUNDUP(I5/J5,2)</f>
        <v>0.89</v>
      </c>
      <c r="L5" s="16"/>
      <c r="M5" s="35">
        <f>ROUNDUP(K5*2^15,0)</f>
        <v>29164</v>
      </c>
      <c r="N5" s="16" t="s">
        <v>4</v>
      </c>
    </row>
    <row r="6" spans="1:18" x14ac:dyDescent="0.3">
      <c r="B6" s="2"/>
      <c r="C6" s="13"/>
      <c r="D6" s="13"/>
      <c r="E6" s="13"/>
      <c r="F6" s="13"/>
      <c r="G6" s="2"/>
      <c r="H6" s="2"/>
      <c r="I6" s="2"/>
      <c r="J6" s="2"/>
      <c r="K6" s="2"/>
    </row>
    <row r="7" spans="1:18" x14ac:dyDescent="0.3">
      <c r="B7" s="2"/>
      <c r="C7" s="13"/>
      <c r="D7" s="13"/>
      <c r="E7" s="13"/>
      <c r="F7" s="13"/>
      <c r="G7" s="2"/>
      <c r="H7" s="2"/>
      <c r="I7" s="2"/>
      <c r="J7" s="2"/>
      <c r="K7" s="2"/>
    </row>
    <row r="8" spans="1:18" x14ac:dyDescent="0.3">
      <c r="B8" s="2"/>
      <c r="C8" s="2"/>
      <c r="D8" s="2"/>
      <c r="E8" s="2"/>
      <c r="F8" s="2"/>
      <c r="G8" s="2"/>
      <c r="H8" s="2"/>
      <c r="I8" s="2"/>
      <c r="J8" s="2"/>
      <c r="K8" s="2"/>
    </row>
    <row r="9" spans="1:18" x14ac:dyDescent="0.3">
      <c r="B9" s="2" t="s">
        <v>4</v>
      </c>
      <c r="C9" s="2" t="s">
        <v>5</v>
      </c>
      <c r="D9" s="2" t="s">
        <v>3</v>
      </c>
      <c r="E9" s="35" t="s">
        <v>4</v>
      </c>
      <c r="F9" s="2" t="s">
        <v>4</v>
      </c>
      <c r="G9" s="88" t="s">
        <v>3</v>
      </c>
      <c r="H9" s="88"/>
      <c r="I9" s="2" t="s">
        <v>4</v>
      </c>
      <c r="J9" s="2"/>
      <c r="K9" s="2"/>
    </row>
    <row r="10" spans="1:18" s="53" customFormat="1" ht="28.8" x14ac:dyDescent="0.3">
      <c r="A10" s="36" t="s">
        <v>20</v>
      </c>
      <c r="B10" s="37" t="s">
        <v>1</v>
      </c>
      <c r="C10" s="37" t="s">
        <v>2</v>
      </c>
      <c r="D10" s="38" t="s">
        <v>0</v>
      </c>
      <c r="E10" s="37">
        <v>0.89</v>
      </c>
      <c r="F10" s="38" t="s">
        <v>6</v>
      </c>
      <c r="G10" s="89" t="s">
        <v>7</v>
      </c>
      <c r="H10" s="89"/>
      <c r="I10" s="38" t="s">
        <v>8</v>
      </c>
      <c r="J10" s="39" t="s">
        <v>13</v>
      </c>
      <c r="K10" s="40" t="s">
        <v>11</v>
      </c>
      <c r="L10" s="41"/>
      <c r="M10" s="36" t="s">
        <v>19</v>
      </c>
      <c r="N10" s="42" t="s">
        <v>18</v>
      </c>
      <c r="O10" s="36" t="s">
        <v>14</v>
      </c>
      <c r="P10" s="37" t="s">
        <v>15</v>
      </c>
      <c r="Q10" s="37" t="s">
        <v>16</v>
      </c>
      <c r="R10" s="40" t="s">
        <v>17</v>
      </c>
    </row>
    <row r="11" spans="1:18" ht="15.6" x14ac:dyDescent="0.3">
      <c r="A11" s="3">
        <f>'Q15 Sin Table'!D3</f>
        <v>10</v>
      </c>
      <c r="B11" s="32">
        <f>'Q15 Sin Table'!F3</f>
        <v>5899</v>
      </c>
      <c r="C11" s="32">
        <f>'Vac Hesap'!$I$19</f>
        <v>13520</v>
      </c>
      <c r="D11" s="33">
        <f>FLOOR((B11*C11)/(2^16),1)</f>
        <v>1216</v>
      </c>
      <c r="E11" s="50">
        <v>29163</v>
      </c>
      <c r="F11" s="33">
        <f>'Vpv Hesap'!$G$16</f>
        <v>21024</v>
      </c>
      <c r="G11" s="57">
        <f>ROUND(D11+(E11*F11)/(2^17),-1)</f>
        <v>5890</v>
      </c>
      <c r="H11" s="57">
        <f>ROUND((D11*2^13)/G11,-1)</f>
        <v>1690</v>
      </c>
      <c r="I11" s="33">
        <f>H11*2^2</f>
        <v>6760</v>
      </c>
      <c r="J11" s="32">
        <f t="shared" ref="J11:J19" si="0">ROUND(($B$3*I11)/(2^15),-1)</f>
        <v>3480</v>
      </c>
      <c r="K11" s="34">
        <f t="shared" ref="K11:K19" si="1">(J11/$B$3)</f>
        <v>0.20635673624288425</v>
      </c>
      <c r="L11" s="20"/>
      <c r="M11" s="21">
        <v>230</v>
      </c>
      <c r="N11" s="26">
        <f>M11*SQRT(2)</f>
        <v>325.26911934581187</v>
      </c>
      <c r="O11" s="21">
        <f>N11*SIN(2*(PI()*A11/180)*50*0.01)</f>
        <v>56.482389825727509</v>
      </c>
      <c r="P11" s="13">
        <v>36</v>
      </c>
      <c r="Q11" s="13">
        <v>7</v>
      </c>
      <c r="R11" s="22">
        <f>O11/(O11+P11*Q11)</f>
        <v>0.1830976149323674</v>
      </c>
    </row>
    <row r="12" spans="1:18" ht="15.6" x14ac:dyDescent="0.3">
      <c r="A12" s="6">
        <f>'Q15 Sin Table'!D4</f>
        <v>20</v>
      </c>
      <c r="B12" s="13">
        <f>'Q15 Sin Table'!F4</f>
        <v>10754</v>
      </c>
      <c r="C12" s="13">
        <f>'Vac Hesap'!$I$19</f>
        <v>13520</v>
      </c>
      <c r="D12" s="28">
        <f>FLOOR((B12*C12)/(2^16),1)</f>
        <v>2218</v>
      </c>
      <c r="E12" s="51">
        <v>29163</v>
      </c>
      <c r="F12" s="28">
        <f>'Vpv Hesap'!$G$16</f>
        <v>21024</v>
      </c>
      <c r="G12" s="55">
        <f t="shared" ref="G12:G19" si="2">ROUND(D12+(E12*F12)/(2^17),-1)</f>
        <v>6900</v>
      </c>
      <c r="H12" s="55">
        <f t="shared" ref="H12:H19" si="3">ROUND((D12*2^13)/G12,-1)</f>
        <v>2630</v>
      </c>
      <c r="I12" s="28">
        <f t="shared" ref="I12:I19" si="4">H12*2^2</f>
        <v>10520</v>
      </c>
      <c r="J12" s="13">
        <f t="shared" si="0"/>
        <v>5410</v>
      </c>
      <c r="K12" s="29">
        <f t="shared" si="1"/>
        <v>0.32080170777988615</v>
      </c>
      <c r="L12" s="20"/>
      <c r="M12" s="21">
        <v>230</v>
      </c>
      <c r="N12" s="26">
        <f t="shared" ref="N12:N19" si="5">M12*SQRT(2)</f>
        <v>325.26911934581187</v>
      </c>
      <c r="O12" s="21">
        <f t="shared" ref="O12:O19" si="6">N12*SIN(2*(PI()*A12/180)*50*0.01)</f>
        <v>111.24859081806862</v>
      </c>
      <c r="P12" s="13">
        <v>36</v>
      </c>
      <c r="Q12" s="13">
        <v>7</v>
      </c>
      <c r="R12" s="22">
        <f t="shared" ref="R12:R19" si="7">O12/(O12+P12*Q12)</f>
        <v>0.30626021306105206</v>
      </c>
    </row>
    <row r="13" spans="1:18" ht="15.6" x14ac:dyDescent="0.3">
      <c r="A13" s="6">
        <f>'Q15 Sin Table'!D5</f>
        <v>30</v>
      </c>
      <c r="B13" s="13">
        <f>'Q15 Sin Table'!F5</f>
        <v>16238</v>
      </c>
      <c r="C13" s="13">
        <f>'Vac Hesap'!$I$19</f>
        <v>13520</v>
      </c>
      <c r="D13" s="28">
        <f t="shared" ref="D13:D19" si="8">FLOOR((B13*C13)/(2^16),1)</f>
        <v>3349</v>
      </c>
      <c r="E13" s="51">
        <v>29163</v>
      </c>
      <c r="F13" s="28">
        <f>'Vpv Hesap'!$G$16</f>
        <v>21024</v>
      </c>
      <c r="G13" s="55">
        <f t="shared" si="2"/>
        <v>8030</v>
      </c>
      <c r="H13" s="55">
        <f t="shared" si="3"/>
        <v>3420</v>
      </c>
      <c r="I13" s="28">
        <f t="shared" si="4"/>
        <v>13680</v>
      </c>
      <c r="J13" s="13">
        <f t="shared" si="0"/>
        <v>7040</v>
      </c>
      <c r="K13" s="29">
        <f t="shared" si="1"/>
        <v>0.41745730550284632</v>
      </c>
      <c r="L13" s="20"/>
      <c r="M13" s="21">
        <v>230</v>
      </c>
      <c r="N13" s="26">
        <f t="shared" si="5"/>
        <v>325.26911934581187</v>
      </c>
      <c r="O13" s="21">
        <f t="shared" si="6"/>
        <v>162.63455967290591</v>
      </c>
      <c r="P13" s="13">
        <v>36</v>
      </c>
      <c r="Q13" s="13">
        <v>7</v>
      </c>
      <c r="R13" s="22">
        <f t="shared" si="7"/>
        <v>0.39223589997226466</v>
      </c>
    </row>
    <row r="14" spans="1:18" ht="15.6" x14ac:dyDescent="0.3">
      <c r="A14" s="6">
        <f>'Q15 Sin Table'!D6</f>
        <v>40</v>
      </c>
      <c r="B14" s="13">
        <f>'Q15 Sin Table'!F6</f>
        <v>21173</v>
      </c>
      <c r="C14" s="13">
        <f>'Vac Hesap'!$I$19</f>
        <v>13520</v>
      </c>
      <c r="D14" s="28">
        <f t="shared" si="8"/>
        <v>4367</v>
      </c>
      <c r="E14" s="51">
        <v>29163</v>
      </c>
      <c r="F14" s="28">
        <f>'Vpv Hesap'!$G$16</f>
        <v>21024</v>
      </c>
      <c r="G14" s="55">
        <f t="shared" si="2"/>
        <v>9040</v>
      </c>
      <c r="H14" s="55">
        <f t="shared" si="3"/>
        <v>3960</v>
      </c>
      <c r="I14" s="28">
        <f t="shared" si="4"/>
        <v>15840</v>
      </c>
      <c r="J14" s="13">
        <f t="shared" si="0"/>
        <v>8150</v>
      </c>
      <c r="K14" s="29">
        <f t="shared" si="1"/>
        <v>0.48327798861480076</v>
      </c>
      <c r="L14" s="20"/>
      <c r="M14" s="21">
        <v>230</v>
      </c>
      <c r="N14" s="26">
        <f t="shared" si="5"/>
        <v>325.26911934581187</v>
      </c>
      <c r="O14" s="21">
        <f t="shared" si="6"/>
        <v>209.07895972914008</v>
      </c>
      <c r="P14" s="13">
        <v>36</v>
      </c>
      <c r="Q14" s="13">
        <v>7</v>
      </c>
      <c r="R14" s="22">
        <f t="shared" si="7"/>
        <v>0.45345586762831924</v>
      </c>
    </row>
    <row r="15" spans="1:18" ht="15.6" x14ac:dyDescent="0.3">
      <c r="A15" s="6">
        <f>'Q15 Sin Table'!D7</f>
        <v>50</v>
      </c>
      <c r="B15" s="13">
        <f>'Q15 Sin Table'!F7</f>
        <v>24746</v>
      </c>
      <c r="C15" s="13">
        <f>'Vac Hesap'!$I$19</f>
        <v>13520</v>
      </c>
      <c r="D15" s="28">
        <f t="shared" si="8"/>
        <v>5105</v>
      </c>
      <c r="E15" s="51">
        <v>29163</v>
      </c>
      <c r="F15" s="28">
        <f>'Vpv Hesap'!$G$16</f>
        <v>21024</v>
      </c>
      <c r="G15" s="55">
        <f t="shared" si="2"/>
        <v>9780</v>
      </c>
      <c r="H15" s="55">
        <f t="shared" si="3"/>
        <v>4280</v>
      </c>
      <c r="I15" s="28">
        <f t="shared" si="4"/>
        <v>17120</v>
      </c>
      <c r="J15" s="13">
        <f t="shared" si="0"/>
        <v>8810</v>
      </c>
      <c r="K15" s="29">
        <f t="shared" si="1"/>
        <v>0.52241461100569264</v>
      </c>
      <c r="L15" s="20"/>
      <c r="M15" s="21">
        <v>230</v>
      </c>
      <c r="N15" s="26">
        <f t="shared" si="5"/>
        <v>325.26911934581187</v>
      </c>
      <c r="O15" s="21">
        <f t="shared" si="6"/>
        <v>249.17060139306287</v>
      </c>
      <c r="P15" s="13">
        <v>36</v>
      </c>
      <c r="Q15" s="13">
        <v>7</v>
      </c>
      <c r="R15" s="22">
        <f t="shared" si="7"/>
        <v>0.49717721011660254</v>
      </c>
    </row>
    <row r="16" spans="1:18" ht="15.6" x14ac:dyDescent="0.3">
      <c r="A16" s="6">
        <f>'Q15 Sin Table'!D8</f>
        <v>60</v>
      </c>
      <c r="B16" s="13">
        <f>'Q15 Sin Table'!F8</f>
        <v>28259</v>
      </c>
      <c r="C16" s="13">
        <f>'Vac Hesap'!$I$19</f>
        <v>13520</v>
      </c>
      <c r="D16" s="28">
        <f t="shared" si="8"/>
        <v>5829</v>
      </c>
      <c r="E16" s="51">
        <v>29163</v>
      </c>
      <c r="F16" s="28">
        <f>'Vpv Hesap'!$G$16</f>
        <v>21024</v>
      </c>
      <c r="G16" s="55">
        <f t="shared" si="2"/>
        <v>10510</v>
      </c>
      <c r="H16" s="55">
        <f t="shared" si="3"/>
        <v>4540</v>
      </c>
      <c r="I16" s="28">
        <f t="shared" si="4"/>
        <v>18160</v>
      </c>
      <c r="J16" s="13">
        <f t="shared" si="0"/>
        <v>9350</v>
      </c>
      <c r="K16" s="29">
        <f t="shared" si="1"/>
        <v>0.55443548387096775</v>
      </c>
      <c r="L16" s="20"/>
      <c r="M16" s="21">
        <v>230</v>
      </c>
      <c r="N16" s="26">
        <f t="shared" si="5"/>
        <v>325.26911934581187</v>
      </c>
      <c r="O16" s="21">
        <f t="shared" si="6"/>
        <v>281.69132042006549</v>
      </c>
      <c r="P16" s="13">
        <v>36</v>
      </c>
      <c r="Q16" s="13">
        <v>7</v>
      </c>
      <c r="R16" s="22">
        <f t="shared" si="7"/>
        <v>0.52781694144538049</v>
      </c>
    </row>
    <row r="17" spans="1:18" ht="15.6" x14ac:dyDescent="0.3">
      <c r="A17" s="6">
        <f>'Q15 Sin Table'!D9</f>
        <v>70</v>
      </c>
      <c r="B17" s="13">
        <f>'Q15 Sin Table'!F9</f>
        <v>30818</v>
      </c>
      <c r="C17" s="13">
        <f>'Vac Hesap'!$I$19</f>
        <v>13520</v>
      </c>
      <c r="D17" s="28">
        <f t="shared" si="8"/>
        <v>6357</v>
      </c>
      <c r="E17" s="51">
        <v>29163</v>
      </c>
      <c r="F17" s="28">
        <f>'Vpv Hesap'!$G$16</f>
        <v>21024</v>
      </c>
      <c r="G17" s="55">
        <f t="shared" si="2"/>
        <v>11030</v>
      </c>
      <c r="H17" s="55">
        <f t="shared" si="3"/>
        <v>4720</v>
      </c>
      <c r="I17" s="28">
        <f t="shared" si="4"/>
        <v>18880</v>
      </c>
      <c r="J17" s="13">
        <f t="shared" si="0"/>
        <v>9720</v>
      </c>
      <c r="K17" s="29">
        <f t="shared" si="1"/>
        <v>0.5763757115749526</v>
      </c>
      <c r="L17" s="20"/>
      <c r="M17" s="21">
        <v>230</v>
      </c>
      <c r="N17" s="26">
        <f t="shared" si="5"/>
        <v>325.26911934581187</v>
      </c>
      <c r="O17" s="21">
        <f t="shared" si="6"/>
        <v>305.65299121879036</v>
      </c>
      <c r="P17" s="13">
        <v>36</v>
      </c>
      <c r="Q17" s="13">
        <v>7</v>
      </c>
      <c r="R17" s="22">
        <f t="shared" si="7"/>
        <v>0.5481060731885683</v>
      </c>
    </row>
    <row r="18" spans="1:18" ht="15.6" x14ac:dyDescent="0.3">
      <c r="A18" s="6">
        <f>'Q15 Sin Table'!D10</f>
        <v>80</v>
      </c>
      <c r="B18" s="13">
        <f>'Q15 Sin Table'!F10</f>
        <v>32335</v>
      </c>
      <c r="C18" s="13">
        <f>'Vac Hesap'!$I$19</f>
        <v>13520</v>
      </c>
      <c r="D18" s="28">
        <f t="shared" si="8"/>
        <v>6670</v>
      </c>
      <c r="E18" s="51">
        <v>29163</v>
      </c>
      <c r="F18" s="28">
        <f>'Vpv Hesap'!$G$16</f>
        <v>21024</v>
      </c>
      <c r="G18" s="55">
        <f t="shared" si="2"/>
        <v>11350</v>
      </c>
      <c r="H18" s="55">
        <f t="shared" si="3"/>
        <v>4810</v>
      </c>
      <c r="I18" s="28">
        <f t="shared" si="4"/>
        <v>19240</v>
      </c>
      <c r="J18" s="13">
        <f t="shared" si="0"/>
        <v>9900</v>
      </c>
      <c r="K18" s="29">
        <f t="shared" si="1"/>
        <v>0.5870493358633776</v>
      </c>
      <c r="L18" s="20"/>
      <c r="M18" s="21">
        <v>230</v>
      </c>
      <c r="N18" s="26">
        <f t="shared" si="5"/>
        <v>325.26911934581187</v>
      </c>
      <c r="O18" s="21">
        <f t="shared" si="6"/>
        <v>320.32755054720872</v>
      </c>
      <c r="P18" s="13">
        <v>36</v>
      </c>
      <c r="Q18" s="13">
        <v>7</v>
      </c>
      <c r="R18" s="22">
        <f t="shared" si="7"/>
        <v>0.55969269737397753</v>
      </c>
    </row>
    <row r="19" spans="1:18" ht="15.6" x14ac:dyDescent="0.3">
      <c r="A19" s="9">
        <f>'Q15 Sin Table'!D11</f>
        <v>90</v>
      </c>
      <c r="B19" s="24">
        <f>'Q15 Sin Table'!F11</f>
        <v>32767</v>
      </c>
      <c r="C19" s="24">
        <f>'Vac Hesap'!$I$19</f>
        <v>13520</v>
      </c>
      <c r="D19" s="30">
        <f t="shared" si="8"/>
        <v>6759</v>
      </c>
      <c r="E19" s="52">
        <v>29163</v>
      </c>
      <c r="F19" s="30">
        <f>'Vpv Hesap'!$G$16</f>
        <v>21024</v>
      </c>
      <c r="G19" s="56">
        <f t="shared" si="2"/>
        <v>11440</v>
      </c>
      <c r="H19" s="56">
        <f t="shared" si="3"/>
        <v>4840</v>
      </c>
      <c r="I19" s="30">
        <f t="shared" si="4"/>
        <v>19360</v>
      </c>
      <c r="J19" s="24">
        <f t="shared" si="0"/>
        <v>9960</v>
      </c>
      <c r="K19" s="31">
        <f t="shared" si="1"/>
        <v>0.59060721062618593</v>
      </c>
      <c r="L19" s="20"/>
      <c r="M19" s="23">
        <v>230</v>
      </c>
      <c r="N19" s="27">
        <f t="shared" si="5"/>
        <v>325.26911934581187</v>
      </c>
      <c r="O19" s="23">
        <f t="shared" si="6"/>
        <v>325.26911934581187</v>
      </c>
      <c r="P19" s="24">
        <v>36</v>
      </c>
      <c r="Q19" s="24">
        <v>7</v>
      </c>
      <c r="R19" s="25">
        <f t="shared" si="7"/>
        <v>0.5634618385865191</v>
      </c>
    </row>
  </sheetData>
  <mergeCells count="2">
    <mergeCell ref="G9:H9"/>
    <mergeCell ref="G10:H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workbookViewId="0">
      <selection activeCell="C11" sqref="C11"/>
    </sheetView>
  </sheetViews>
  <sheetFormatPr defaultRowHeight="14.4" x14ac:dyDescent="0.3"/>
  <cols>
    <col min="1" max="1" width="4.6640625" customWidth="1"/>
    <col min="2" max="2" width="15.109375" customWidth="1"/>
    <col min="3" max="3" width="17.109375" customWidth="1"/>
    <col min="4" max="4" width="13.88671875" customWidth="1"/>
    <col min="6" max="6" width="16.5546875" customWidth="1"/>
    <col min="7" max="7" width="10.77734375" customWidth="1"/>
    <col min="8" max="8" width="7.88671875" customWidth="1"/>
    <col min="9" max="9" width="11.44140625" customWidth="1"/>
    <col min="10" max="10" width="15.6640625" bestFit="1" customWidth="1"/>
    <col min="12" max="12" width="1.21875" customWidth="1"/>
  </cols>
  <sheetData>
    <row r="1" spans="1:18" x14ac:dyDescent="0.3">
      <c r="B1" s="3" t="s">
        <v>9</v>
      </c>
      <c r="C1" s="4" t="s">
        <v>10</v>
      </c>
      <c r="D1" s="4"/>
      <c r="E1" s="5"/>
      <c r="H1" t="s">
        <v>36</v>
      </c>
    </row>
    <row r="2" spans="1:18" x14ac:dyDescent="0.3">
      <c r="B2" s="6" t="s">
        <v>12</v>
      </c>
      <c r="C2" s="7"/>
      <c r="D2" s="7"/>
      <c r="E2" s="8" t="s">
        <v>4</v>
      </c>
      <c r="H2" t="s">
        <v>37</v>
      </c>
    </row>
    <row r="3" spans="1:18" ht="15.6" x14ac:dyDescent="0.3">
      <c r="B3" s="54">
        <v>16864</v>
      </c>
      <c r="C3" s="10">
        <v>0.75</v>
      </c>
      <c r="D3" s="10">
        <f>B3*C3</f>
        <v>12648</v>
      </c>
      <c r="E3" s="11">
        <f>32767*C3</f>
        <v>24575.25</v>
      </c>
    </row>
    <row r="4" spans="1:18" x14ac:dyDescent="0.3">
      <c r="C4" s="7"/>
      <c r="D4" s="7"/>
      <c r="E4" s="7"/>
      <c r="F4" s="7"/>
      <c r="G4" s="2" t="s">
        <v>33</v>
      </c>
      <c r="H4" s="2" t="s">
        <v>16</v>
      </c>
      <c r="I4" s="2" t="s">
        <v>39</v>
      </c>
      <c r="J4" s="2" t="s">
        <v>40</v>
      </c>
      <c r="M4" s="2" t="s">
        <v>38</v>
      </c>
      <c r="N4" s="2"/>
    </row>
    <row r="5" spans="1:18" ht="15.6" x14ac:dyDescent="0.3">
      <c r="B5" s="2"/>
      <c r="C5" s="13"/>
      <c r="D5" s="13"/>
      <c r="E5" s="13"/>
      <c r="F5" s="13"/>
      <c r="G5" s="16">
        <v>56.1</v>
      </c>
      <c r="H5" s="16">
        <v>12</v>
      </c>
      <c r="I5" s="16">
        <f>FLOOR(G5*H5,1)</f>
        <v>673</v>
      </c>
      <c r="J5" s="16">
        <v>445</v>
      </c>
      <c r="K5" s="16">
        <f>ROUNDUP(I5/J5,2)</f>
        <v>1.52</v>
      </c>
      <c r="L5" s="16"/>
      <c r="M5" s="58">
        <f>ROUNDUP(K5*2^14,0)</f>
        <v>24904</v>
      </c>
      <c r="N5" s="16" t="s">
        <v>5</v>
      </c>
    </row>
    <row r="6" spans="1:18" x14ac:dyDescent="0.3">
      <c r="B6" s="2"/>
      <c r="C6" s="13"/>
      <c r="D6" s="13"/>
      <c r="E6" s="13"/>
      <c r="F6" s="13"/>
      <c r="G6" s="2"/>
      <c r="H6" s="2"/>
      <c r="I6" s="2"/>
      <c r="J6" s="2"/>
      <c r="K6" s="2"/>
    </row>
    <row r="7" spans="1:18" x14ac:dyDescent="0.3">
      <c r="B7" s="2"/>
      <c r="C7" s="13"/>
      <c r="D7" s="13"/>
      <c r="E7" s="13"/>
      <c r="F7" s="13"/>
      <c r="G7" s="2"/>
      <c r="H7" s="2"/>
      <c r="I7" s="2"/>
      <c r="J7" s="2"/>
      <c r="K7" s="2"/>
    </row>
    <row r="8" spans="1:18" x14ac:dyDescent="0.3">
      <c r="B8" s="2"/>
      <c r="C8" s="2"/>
      <c r="D8" s="2"/>
      <c r="E8" s="2"/>
      <c r="F8" s="2"/>
      <c r="G8" s="2"/>
      <c r="H8" s="2"/>
      <c r="I8" s="2"/>
      <c r="J8" s="2"/>
      <c r="K8" s="2"/>
    </row>
    <row r="9" spans="1:18" x14ac:dyDescent="0.3">
      <c r="B9" s="2" t="s">
        <v>4</v>
      </c>
      <c r="C9" s="2" t="s">
        <v>5</v>
      </c>
      <c r="D9" s="2" t="s">
        <v>3</v>
      </c>
      <c r="E9" s="35" t="s">
        <v>5</v>
      </c>
      <c r="F9" s="2" t="s">
        <v>4</v>
      </c>
      <c r="G9" s="88" t="s">
        <v>3</v>
      </c>
      <c r="H9" s="88"/>
      <c r="I9" s="2" t="s">
        <v>4</v>
      </c>
      <c r="J9" s="2"/>
      <c r="K9" s="2"/>
    </row>
    <row r="10" spans="1:18" s="19" customFormat="1" ht="28.8" x14ac:dyDescent="0.3">
      <c r="A10" s="36" t="s">
        <v>20</v>
      </c>
      <c r="B10" s="37" t="s">
        <v>1</v>
      </c>
      <c r="C10" s="37" t="s">
        <v>2</v>
      </c>
      <c r="D10" s="38" t="s">
        <v>0</v>
      </c>
      <c r="E10" s="37">
        <f>K5</f>
        <v>1.52</v>
      </c>
      <c r="F10" s="38" t="s">
        <v>6</v>
      </c>
      <c r="G10" s="89" t="s">
        <v>7</v>
      </c>
      <c r="H10" s="89"/>
      <c r="I10" s="38" t="s">
        <v>8</v>
      </c>
      <c r="J10" s="39" t="s">
        <v>13</v>
      </c>
      <c r="K10" s="40" t="s">
        <v>11</v>
      </c>
      <c r="L10" s="41"/>
      <c r="M10" s="36" t="s">
        <v>19</v>
      </c>
      <c r="N10" s="42" t="s">
        <v>18</v>
      </c>
      <c r="O10" s="37" t="s">
        <v>14</v>
      </c>
      <c r="P10" s="37" t="s">
        <v>15</v>
      </c>
      <c r="Q10" s="37" t="s">
        <v>16</v>
      </c>
      <c r="R10" s="40" t="s">
        <v>17</v>
      </c>
    </row>
    <row r="11" spans="1:18" ht="15.6" x14ac:dyDescent="0.3">
      <c r="A11" s="3">
        <f>'Q15 Sin Table'!D3</f>
        <v>10</v>
      </c>
      <c r="B11" s="32">
        <f>'Q15 Sin Table'!F3</f>
        <v>5899</v>
      </c>
      <c r="C11" s="32">
        <f>'Vac Hesap'!$J$25</f>
        <v>10657</v>
      </c>
      <c r="D11" s="33">
        <f>FLOOR((B11*C11)/(2^16),1)</f>
        <v>959</v>
      </c>
      <c r="E11" s="92">
        <f t="shared" ref="E11:E19" si="0">$M$5</f>
        <v>24904</v>
      </c>
      <c r="F11" s="33">
        <f>'Vpv Hesap'!$G$16</f>
        <v>21024</v>
      </c>
      <c r="G11" s="57">
        <f>FLOOR(D11+(E11*F11)/(2^16),1)</f>
        <v>8948</v>
      </c>
      <c r="H11" s="57">
        <f>FLOOR((D11*2^13)/G11,1)</f>
        <v>877</v>
      </c>
      <c r="I11" s="33">
        <f>H11*2^2</f>
        <v>3508</v>
      </c>
      <c r="J11" s="32">
        <f t="shared" ref="J11:J19" si="1">ROUND(($B$3*I11)/(2^15),-1)</f>
        <v>1810</v>
      </c>
      <c r="K11" s="34">
        <f t="shared" ref="K11:K19" si="2">(J11/$B$3)</f>
        <v>0.1073292220113852</v>
      </c>
      <c r="L11" s="43"/>
      <c r="M11" s="45">
        <f>'Vac Hesap'!$B$25</f>
        <v>230</v>
      </c>
      <c r="N11" s="46">
        <f>M11*SQRT(2)</f>
        <v>325.26911934581187</v>
      </c>
      <c r="O11" s="32">
        <f>N11*SIN(2*(PI()*A11/180)*50*0.01)</f>
        <v>56.482389825727509</v>
      </c>
      <c r="P11" s="32">
        <f>'Vpv Hesap'!$B$16</f>
        <v>36</v>
      </c>
      <c r="Q11" s="32">
        <f>H5</f>
        <v>12</v>
      </c>
      <c r="R11" s="47">
        <f>O11/(O11+P11*Q11)</f>
        <v>0.11562830309170069</v>
      </c>
    </row>
    <row r="12" spans="1:18" ht="15.6" x14ac:dyDescent="0.3">
      <c r="A12" s="6">
        <f>'Q15 Sin Table'!D4</f>
        <v>20</v>
      </c>
      <c r="B12" s="13">
        <f>'Q15 Sin Table'!F4</f>
        <v>10754</v>
      </c>
      <c r="C12" s="13">
        <f>'Vac Hesap'!$J$25</f>
        <v>10657</v>
      </c>
      <c r="D12" s="28">
        <f t="shared" ref="D12:D19" si="3">FLOOR((B12*C12)/(2^16),1)</f>
        <v>1748</v>
      </c>
      <c r="E12" s="48">
        <f t="shared" si="0"/>
        <v>24904</v>
      </c>
      <c r="F12" s="28">
        <f>'Vpv Hesap'!$G$16</f>
        <v>21024</v>
      </c>
      <c r="G12" s="55">
        <f t="shared" ref="G12:G19" si="4">FLOOR(D12+(E12*F12)/(2^16),1)</f>
        <v>9737</v>
      </c>
      <c r="H12" s="55">
        <f t="shared" ref="H12:H19" si="5">FLOOR((D12*2^13)/G12,1)</f>
        <v>1470</v>
      </c>
      <c r="I12" s="28">
        <f t="shared" ref="I12:I19" si="6">H12*2^2</f>
        <v>5880</v>
      </c>
      <c r="J12" s="13">
        <f t="shared" si="1"/>
        <v>3030</v>
      </c>
      <c r="K12" s="29">
        <f t="shared" si="2"/>
        <v>0.17967267552182165</v>
      </c>
      <c r="L12" s="43"/>
      <c r="M12" s="21">
        <f>'Vac Hesap'!$B$25</f>
        <v>230</v>
      </c>
      <c r="N12" s="26">
        <f t="shared" ref="N12:N19" si="7">M12*SQRT(2)</f>
        <v>325.26911934581187</v>
      </c>
      <c r="O12" s="13">
        <f t="shared" ref="O12:O19" si="8">N12*SIN(2*(PI()*A12/180)*50*0.01)</f>
        <v>111.24859081806862</v>
      </c>
      <c r="P12" s="13">
        <f>'Vpv Hesap'!$B$16</f>
        <v>36</v>
      </c>
      <c r="Q12" s="13">
        <f t="shared" ref="Q12:Q19" si="9">$H$5</f>
        <v>12</v>
      </c>
      <c r="R12" s="22">
        <f t="shared" ref="R12:R19" si="10">O12/(O12+P12*Q12)</f>
        <v>0.20478394734635447</v>
      </c>
    </row>
    <row r="13" spans="1:18" ht="15.6" x14ac:dyDescent="0.3">
      <c r="A13" s="6">
        <f>'Q15 Sin Table'!D5</f>
        <v>30</v>
      </c>
      <c r="B13" s="13">
        <f>'Q15 Sin Table'!F5</f>
        <v>16238</v>
      </c>
      <c r="C13" s="13">
        <f>'Vac Hesap'!$J$25</f>
        <v>10657</v>
      </c>
      <c r="D13" s="28">
        <f t="shared" si="3"/>
        <v>2640</v>
      </c>
      <c r="E13" s="48">
        <f t="shared" si="0"/>
        <v>24904</v>
      </c>
      <c r="F13" s="28">
        <f>'Vpv Hesap'!$G$16</f>
        <v>21024</v>
      </c>
      <c r="G13" s="55">
        <f t="shared" si="4"/>
        <v>10629</v>
      </c>
      <c r="H13" s="55">
        <f t="shared" si="5"/>
        <v>2034</v>
      </c>
      <c r="I13" s="28">
        <f t="shared" si="6"/>
        <v>8136</v>
      </c>
      <c r="J13" s="13">
        <f t="shared" si="1"/>
        <v>4190</v>
      </c>
      <c r="K13" s="29">
        <f t="shared" si="2"/>
        <v>0.2484582542694497</v>
      </c>
      <c r="L13" s="43"/>
      <c r="M13" s="21">
        <f>'Vac Hesap'!$B$25</f>
        <v>230</v>
      </c>
      <c r="N13" s="26">
        <f t="shared" si="7"/>
        <v>325.26911934581187</v>
      </c>
      <c r="O13" s="13">
        <f t="shared" si="8"/>
        <v>162.63455967290591</v>
      </c>
      <c r="P13" s="13">
        <f>'Vpv Hesap'!$B$16</f>
        <v>36</v>
      </c>
      <c r="Q13" s="13">
        <f t="shared" si="9"/>
        <v>12</v>
      </c>
      <c r="R13" s="22">
        <f t="shared" si="10"/>
        <v>0.27350337619523368</v>
      </c>
    </row>
    <row r="14" spans="1:18" ht="15.6" x14ac:dyDescent="0.3">
      <c r="A14" s="6">
        <f>'Q15 Sin Table'!D6</f>
        <v>40</v>
      </c>
      <c r="B14" s="13">
        <f>'Q15 Sin Table'!F6</f>
        <v>21173</v>
      </c>
      <c r="C14" s="13">
        <f>'Vac Hesap'!$J$25</f>
        <v>10657</v>
      </c>
      <c r="D14" s="28">
        <f t="shared" si="3"/>
        <v>3443</v>
      </c>
      <c r="E14" s="48">
        <f t="shared" si="0"/>
        <v>24904</v>
      </c>
      <c r="F14" s="28">
        <f>'Vpv Hesap'!$G$16</f>
        <v>21024</v>
      </c>
      <c r="G14" s="55">
        <f t="shared" si="4"/>
        <v>11432</v>
      </c>
      <c r="H14" s="55">
        <f t="shared" si="5"/>
        <v>2467</v>
      </c>
      <c r="I14" s="28">
        <f t="shared" si="6"/>
        <v>9868</v>
      </c>
      <c r="J14" s="13">
        <f t="shared" si="1"/>
        <v>5080</v>
      </c>
      <c r="K14" s="29">
        <f t="shared" si="2"/>
        <v>0.30123339658444021</v>
      </c>
      <c r="L14" s="43"/>
      <c r="M14" s="21">
        <f>'Vac Hesap'!$B$25</f>
        <v>230</v>
      </c>
      <c r="N14" s="26">
        <f t="shared" si="7"/>
        <v>325.26911934581187</v>
      </c>
      <c r="O14" s="13">
        <f t="shared" si="8"/>
        <v>209.07895972914008</v>
      </c>
      <c r="P14" s="13">
        <f>'Vpv Hesap'!$B$16</f>
        <v>36</v>
      </c>
      <c r="Q14" s="13">
        <f t="shared" si="9"/>
        <v>12</v>
      </c>
      <c r="R14" s="22">
        <f t="shared" si="10"/>
        <v>0.32613605010134367</v>
      </c>
    </row>
    <row r="15" spans="1:18" ht="15.6" x14ac:dyDescent="0.3">
      <c r="A15" s="6">
        <f>'Q15 Sin Table'!D7</f>
        <v>50</v>
      </c>
      <c r="B15" s="13">
        <f>'Q15 Sin Table'!F7</f>
        <v>24746</v>
      </c>
      <c r="C15" s="13">
        <f>'Vac Hesap'!$J$25</f>
        <v>10657</v>
      </c>
      <c r="D15" s="28">
        <f t="shared" si="3"/>
        <v>4024</v>
      </c>
      <c r="E15" s="48">
        <f t="shared" si="0"/>
        <v>24904</v>
      </c>
      <c r="F15" s="28">
        <f>'Vpv Hesap'!$G$16</f>
        <v>21024</v>
      </c>
      <c r="G15" s="55">
        <f t="shared" si="4"/>
        <v>12013</v>
      </c>
      <c r="H15" s="55">
        <f t="shared" si="5"/>
        <v>2744</v>
      </c>
      <c r="I15" s="28">
        <f t="shared" si="6"/>
        <v>10976</v>
      </c>
      <c r="J15" s="13">
        <f t="shared" si="1"/>
        <v>5650</v>
      </c>
      <c r="K15" s="29">
        <f t="shared" si="2"/>
        <v>0.33503320683111953</v>
      </c>
      <c r="L15" s="43"/>
      <c r="M15" s="21">
        <f>'Vac Hesap'!$B$25</f>
        <v>230</v>
      </c>
      <c r="N15" s="26">
        <f t="shared" si="7"/>
        <v>325.26911934581187</v>
      </c>
      <c r="O15" s="13">
        <f t="shared" si="8"/>
        <v>249.17060139306287</v>
      </c>
      <c r="P15" s="13">
        <f>'Vpv Hesap'!$B$16</f>
        <v>36</v>
      </c>
      <c r="Q15" s="13">
        <f t="shared" si="9"/>
        <v>12</v>
      </c>
      <c r="R15" s="22">
        <f t="shared" si="10"/>
        <v>0.36579764435441542</v>
      </c>
    </row>
    <row r="16" spans="1:18" ht="15.6" x14ac:dyDescent="0.3">
      <c r="A16" s="6">
        <f>'Q15 Sin Table'!D8</f>
        <v>60</v>
      </c>
      <c r="B16" s="13">
        <f>'Q15 Sin Table'!F8</f>
        <v>28259</v>
      </c>
      <c r="C16" s="13">
        <f>'Vac Hesap'!$J$25</f>
        <v>10657</v>
      </c>
      <c r="D16" s="28">
        <f t="shared" si="3"/>
        <v>4595</v>
      </c>
      <c r="E16" s="48">
        <f t="shared" si="0"/>
        <v>24904</v>
      </c>
      <c r="F16" s="28">
        <f>'Vpv Hesap'!$G$16</f>
        <v>21024</v>
      </c>
      <c r="G16" s="55">
        <f t="shared" si="4"/>
        <v>12584</v>
      </c>
      <c r="H16" s="55">
        <f t="shared" si="5"/>
        <v>2991</v>
      </c>
      <c r="I16" s="28">
        <f t="shared" si="6"/>
        <v>11964</v>
      </c>
      <c r="J16" s="13">
        <f t="shared" si="1"/>
        <v>6160</v>
      </c>
      <c r="K16" s="29">
        <f t="shared" si="2"/>
        <v>0.36527514231499053</v>
      </c>
      <c r="L16" s="43"/>
      <c r="M16" s="21">
        <f>'Vac Hesap'!$B$25</f>
        <v>230</v>
      </c>
      <c r="N16" s="26">
        <f t="shared" si="7"/>
        <v>325.26911934581187</v>
      </c>
      <c r="O16" s="13">
        <f t="shared" si="8"/>
        <v>281.69132042006549</v>
      </c>
      <c r="P16" s="13">
        <f>'Vpv Hesap'!$B$16</f>
        <v>36</v>
      </c>
      <c r="Q16" s="13">
        <f t="shared" si="9"/>
        <v>12</v>
      </c>
      <c r="R16" s="22">
        <f t="shared" si="10"/>
        <v>0.39469629566780662</v>
      </c>
    </row>
    <row r="17" spans="1:18" ht="15.6" x14ac:dyDescent="0.3">
      <c r="A17" s="6">
        <f>'Q15 Sin Table'!D9</f>
        <v>70</v>
      </c>
      <c r="B17" s="13">
        <f>'Q15 Sin Table'!F9</f>
        <v>30818</v>
      </c>
      <c r="C17" s="13">
        <f>'Vac Hesap'!$J$25</f>
        <v>10657</v>
      </c>
      <c r="D17" s="28">
        <f t="shared" si="3"/>
        <v>5011</v>
      </c>
      <c r="E17" s="48">
        <f t="shared" si="0"/>
        <v>24904</v>
      </c>
      <c r="F17" s="28">
        <f>'Vpv Hesap'!$G$16</f>
        <v>21024</v>
      </c>
      <c r="G17" s="55">
        <f t="shared" si="4"/>
        <v>13000</v>
      </c>
      <c r="H17" s="55">
        <f t="shared" si="5"/>
        <v>3157</v>
      </c>
      <c r="I17" s="28">
        <f t="shared" si="6"/>
        <v>12628</v>
      </c>
      <c r="J17" s="13">
        <f t="shared" si="1"/>
        <v>6500</v>
      </c>
      <c r="K17" s="29">
        <f t="shared" si="2"/>
        <v>0.38543643263757116</v>
      </c>
      <c r="L17" s="43"/>
      <c r="M17" s="21">
        <f>'Vac Hesap'!$B$25</f>
        <v>230</v>
      </c>
      <c r="N17" s="26">
        <f t="shared" si="7"/>
        <v>325.26911934581187</v>
      </c>
      <c r="O17" s="13">
        <f t="shared" si="8"/>
        <v>305.65299121879036</v>
      </c>
      <c r="P17" s="13">
        <f>'Vpv Hesap'!$B$16</f>
        <v>36</v>
      </c>
      <c r="Q17" s="13">
        <f t="shared" si="9"/>
        <v>12</v>
      </c>
      <c r="R17" s="22">
        <f t="shared" si="10"/>
        <v>0.41435877690101125</v>
      </c>
    </row>
    <row r="18" spans="1:18" ht="15.6" x14ac:dyDescent="0.3">
      <c r="A18" s="6">
        <f>'Q15 Sin Table'!D10</f>
        <v>80</v>
      </c>
      <c r="B18" s="13">
        <f>'Q15 Sin Table'!F10</f>
        <v>32335</v>
      </c>
      <c r="C18" s="13">
        <f>'Vac Hesap'!$J$25</f>
        <v>10657</v>
      </c>
      <c r="D18" s="28">
        <f t="shared" si="3"/>
        <v>5258</v>
      </c>
      <c r="E18" s="48">
        <f t="shared" si="0"/>
        <v>24904</v>
      </c>
      <c r="F18" s="28">
        <f>'Vpv Hesap'!$G$16</f>
        <v>21024</v>
      </c>
      <c r="G18" s="55">
        <f t="shared" si="4"/>
        <v>13247</v>
      </c>
      <c r="H18" s="55">
        <f t="shared" si="5"/>
        <v>3251</v>
      </c>
      <c r="I18" s="28">
        <f t="shared" si="6"/>
        <v>13004</v>
      </c>
      <c r="J18" s="13">
        <f t="shared" si="1"/>
        <v>6690</v>
      </c>
      <c r="K18" s="29">
        <f t="shared" si="2"/>
        <v>0.39670303605313095</v>
      </c>
      <c r="L18" s="43"/>
      <c r="M18" s="21">
        <f>'Vac Hesap'!$B$25</f>
        <v>230</v>
      </c>
      <c r="N18" s="26">
        <f t="shared" si="7"/>
        <v>325.26911934581187</v>
      </c>
      <c r="O18" s="13">
        <f t="shared" si="8"/>
        <v>320.32755054720872</v>
      </c>
      <c r="P18" s="13">
        <f>'Vpv Hesap'!$B$16</f>
        <v>36</v>
      </c>
      <c r="Q18" s="13">
        <f t="shared" si="9"/>
        <v>12</v>
      </c>
      <c r="R18" s="22">
        <f t="shared" si="10"/>
        <v>0.42578202847179675</v>
      </c>
    </row>
    <row r="19" spans="1:18" ht="15.6" x14ac:dyDescent="0.3">
      <c r="A19" s="9">
        <f>'Q15 Sin Table'!D11</f>
        <v>90</v>
      </c>
      <c r="B19" s="24">
        <f>'Q15 Sin Table'!F11</f>
        <v>32767</v>
      </c>
      <c r="C19" s="24">
        <f>'Vac Hesap'!$J$25</f>
        <v>10657</v>
      </c>
      <c r="D19" s="30">
        <f t="shared" si="3"/>
        <v>5328</v>
      </c>
      <c r="E19" s="49">
        <f t="shared" si="0"/>
        <v>24904</v>
      </c>
      <c r="F19" s="30">
        <f>'Vpv Hesap'!$G$16</f>
        <v>21024</v>
      </c>
      <c r="G19" s="56">
        <f t="shared" si="4"/>
        <v>13317</v>
      </c>
      <c r="H19" s="56">
        <f t="shared" si="5"/>
        <v>3277</v>
      </c>
      <c r="I19" s="30">
        <f t="shared" si="6"/>
        <v>13108</v>
      </c>
      <c r="J19" s="24">
        <f t="shared" si="1"/>
        <v>6750</v>
      </c>
      <c r="K19" s="31">
        <f t="shared" si="2"/>
        <v>0.40026091081593929</v>
      </c>
      <c r="L19" s="44"/>
      <c r="M19" s="23">
        <f>'Vac Hesap'!$B$25</f>
        <v>230</v>
      </c>
      <c r="N19" s="27">
        <f t="shared" si="7"/>
        <v>325.26911934581187</v>
      </c>
      <c r="O19" s="24">
        <f t="shared" si="8"/>
        <v>325.26911934581187</v>
      </c>
      <c r="P19" s="24">
        <f>'Vpv Hesap'!$B$16</f>
        <v>36</v>
      </c>
      <c r="Q19" s="24">
        <f t="shared" si="9"/>
        <v>12</v>
      </c>
      <c r="R19" s="25">
        <f t="shared" si="10"/>
        <v>0.4295290947910364</v>
      </c>
    </row>
  </sheetData>
  <mergeCells count="2">
    <mergeCell ref="G10:H10"/>
    <mergeCell ref="G9:H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7:M25"/>
  <sheetViews>
    <sheetView workbookViewId="0">
      <selection activeCell="B26" sqref="B26"/>
    </sheetView>
  </sheetViews>
  <sheetFormatPr defaultRowHeight="14.4" x14ac:dyDescent="0.3"/>
  <cols>
    <col min="3" max="3" width="12" bestFit="1" customWidth="1"/>
    <col min="4" max="4" width="5.44140625" bestFit="1" customWidth="1"/>
    <col min="5" max="5" width="12" bestFit="1" customWidth="1"/>
    <col min="7" max="8" width="17.6640625" bestFit="1" customWidth="1"/>
    <col min="9" max="9" width="15.21875" bestFit="1" customWidth="1"/>
    <col min="11" max="11" width="16" bestFit="1" customWidth="1"/>
  </cols>
  <sheetData>
    <row r="17" spans="2:13" x14ac:dyDescent="0.3">
      <c r="F17" t="s">
        <v>32</v>
      </c>
    </row>
    <row r="18" spans="2:13" s="2" customFormat="1" x14ac:dyDescent="0.3">
      <c r="B18" s="2" t="s">
        <v>19</v>
      </c>
      <c r="C18" s="2" t="s">
        <v>23</v>
      </c>
      <c r="D18" s="2" t="s">
        <v>24</v>
      </c>
      <c r="E18" s="2" t="s">
        <v>25</v>
      </c>
      <c r="F18" s="2" t="s">
        <v>26</v>
      </c>
      <c r="G18" s="2" t="s">
        <v>27</v>
      </c>
      <c r="H18" s="2" t="s">
        <v>41</v>
      </c>
      <c r="I18" s="2" t="s">
        <v>29</v>
      </c>
      <c r="J18" s="2" t="s">
        <v>30</v>
      </c>
      <c r="K18" s="2" t="s">
        <v>31</v>
      </c>
    </row>
    <row r="19" spans="2:13" s="2" customFormat="1" ht="15.6" x14ac:dyDescent="0.3">
      <c r="B19" s="2">
        <f>'Kararlı durum N=12'!M11</f>
        <v>230</v>
      </c>
      <c r="C19" s="2">
        <f t="shared" ref="C19" si="0">B19*SQRT(2)</f>
        <v>325.26911934581187</v>
      </c>
      <c r="D19" s="17">
        <v>46</v>
      </c>
      <c r="E19" s="2">
        <f>((C19/D19)*(6.2/27)+2.5)*(3.3/(3.3+1.69))</f>
        <v>2.7271138382748279</v>
      </c>
      <c r="F19" s="2">
        <f>ROUNDDOWN(1023*E19/3.3,0)</f>
        <v>845</v>
      </c>
      <c r="G19" s="2" t="str">
        <f t="shared" ref="G19" si="1">DEC2BIN(F19/256,8)&amp;" "&amp;DEC2BIN(MOD(F19,256),8)</f>
        <v>00000011 01001101</v>
      </c>
      <c r="H19" s="2" t="str">
        <f>DEC2BIN((F19*2^4)/256,8)&amp;" "&amp;DEC2BIN(MOD((F19*2^4),256),8)</f>
        <v>00110100 11010000</v>
      </c>
      <c r="I19" s="15">
        <f t="shared" ref="I19" si="2">BIN2DEC(RIGHT(H19,8))+256*BIN2DEC(LEFT(H19,8))</f>
        <v>13520</v>
      </c>
      <c r="J19" s="2">
        <f>(1/(2^14))*I19</f>
        <v>0.8251953125</v>
      </c>
      <c r="K19" s="2">
        <f>F19*2^4</f>
        <v>13520</v>
      </c>
      <c r="L19" s="60" t="s">
        <v>5</v>
      </c>
    </row>
    <row r="20" spans="2:13" ht="15.6" x14ac:dyDescent="0.3">
      <c r="B20" s="12">
        <v>230</v>
      </c>
      <c r="C20" s="12">
        <f t="shared" ref="C20" si="3">B20*SQRT(2)</f>
        <v>325.26911934581187</v>
      </c>
      <c r="D20" s="17">
        <v>46</v>
      </c>
      <c r="E20" s="12">
        <f>((C20/D20)*(6.2/27)+2.5)*(3.3/(3.3+1.69))</f>
        <v>2.7271138382748279</v>
      </c>
      <c r="F20" s="12">
        <f>ROUNDDOWN(1023*E20/3.3,0)</f>
        <v>845</v>
      </c>
      <c r="G20" s="12" t="str">
        <f t="shared" ref="G20" si="4">DEC2BIN(F20/256,8)&amp;" "&amp;DEC2BIN(MOD(F20,256),8)</f>
        <v>00000011 01001101</v>
      </c>
      <c r="H20" s="12" t="str">
        <f>DEC2BIN((F20*2^5)/256,8)&amp;" "&amp;DEC2BIN(MOD((F20*2^5),256),8)</f>
        <v>01101001 10100000</v>
      </c>
      <c r="I20" s="15">
        <f t="shared" ref="I20" si="5">BIN2DEC(RIGHT(H20,8))+256*BIN2DEC(LEFT(H20,8))</f>
        <v>27040</v>
      </c>
      <c r="J20" s="12">
        <f>(1/(2^14))*I20</f>
        <v>1.650390625</v>
      </c>
      <c r="K20" s="12">
        <f>F20*2^5</f>
        <v>27040</v>
      </c>
      <c r="L20" s="60" t="s">
        <v>4</v>
      </c>
      <c r="M20" t="s">
        <v>42</v>
      </c>
    </row>
    <row r="23" spans="2:13" ht="15.6" x14ac:dyDescent="0.3">
      <c r="B23" s="90" t="s">
        <v>85</v>
      </c>
      <c r="H23" s="60" t="s">
        <v>4</v>
      </c>
      <c r="J23" s="60" t="s">
        <v>4</v>
      </c>
      <c r="L23" s="60" t="s">
        <v>5</v>
      </c>
    </row>
    <row r="24" spans="2:13" x14ac:dyDescent="0.3">
      <c r="J24" t="s">
        <v>86</v>
      </c>
      <c r="K24" t="s">
        <v>30</v>
      </c>
    </row>
    <row r="25" spans="2:13" ht="15.6" x14ac:dyDescent="0.3">
      <c r="B25" s="87">
        <v>230</v>
      </c>
      <c r="C25" s="87">
        <f t="shared" ref="C25" si="6">B25*SQRT(2)</f>
        <v>325.26911934581187</v>
      </c>
      <c r="D25" s="17">
        <v>46</v>
      </c>
      <c r="E25" s="87">
        <f>((C25/D25)*(6.2/27)+2.5)*(3.3/(3.3+1.69))</f>
        <v>2.7271138382748279</v>
      </c>
      <c r="F25" s="87">
        <f>ROUNDDOWN(1023*E25/3.3,0)</f>
        <v>845</v>
      </c>
      <c r="G25" s="87" t="str">
        <f t="shared" ref="G25" si="7">DEC2BIN(F25/256,8)&amp;" "&amp;DEC2BIN(MOD(F25,256),8)</f>
        <v>00000011 01001101</v>
      </c>
      <c r="H25" s="87" t="str">
        <f>DEC2BIN((F25*2^5)/256,8)&amp;" "&amp;DEC2BIN(MOD((F25*2^5),256),8)</f>
        <v>01101001 10100000</v>
      </c>
      <c r="I25" s="15">
        <f>BIN2DEC(RIGHT(H25,8))+256*BIN2DEC(LEFT(H25,8))</f>
        <v>27040</v>
      </c>
      <c r="J25" s="91">
        <f>I25-16383</f>
        <v>10657</v>
      </c>
      <c r="K25" s="87">
        <f>(J25*1/(2^15))</f>
        <v>0.325225830078125</v>
      </c>
      <c r="L25" s="15">
        <f>J25/2</f>
        <v>5328.5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H18"/>
  <sheetViews>
    <sheetView workbookViewId="0">
      <selection activeCell="B17" sqref="B17"/>
    </sheetView>
  </sheetViews>
  <sheetFormatPr defaultRowHeight="14.4" x14ac:dyDescent="0.3"/>
  <cols>
    <col min="6" max="6" width="17.6640625" bestFit="1" customWidth="1"/>
    <col min="7" max="7" width="15.6640625" bestFit="1" customWidth="1"/>
  </cols>
  <sheetData>
    <row r="14" spans="2:8" x14ac:dyDescent="0.3">
      <c r="G14" t="s">
        <v>4</v>
      </c>
    </row>
    <row r="15" spans="2:8" x14ac:dyDescent="0.3">
      <c r="B15" t="s">
        <v>33</v>
      </c>
      <c r="C15" t="s">
        <v>34</v>
      </c>
      <c r="D15" t="s">
        <v>26</v>
      </c>
      <c r="E15" t="s">
        <v>27</v>
      </c>
      <c r="F15" t="s">
        <v>28</v>
      </c>
      <c r="G15" s="1" t="s">
        <v>29</v>
      </c>
      <c r="H15" t="s">
        <v>30</v>
      </c>
    </row>
    <row r="16" spans="2:8" x14ac:dyDescent="0.3">
      <c r="B16">
        <v>36</v>
      </c>
      <c r="C16">
        <f>B16*7.5/127.5</f>
        <v>2.1176470588235294</v>
      </c>
      <c r="D16">
        <f>ROUNDDOWN(1024*C16/3.3,0)</f>
        <v>657</v>
      </c>
      <c r="E16" t="str">
        <f>DEC2BIN(D16/256,8)&amp;" "&amp;DEC2BIN(MOD(D16,256),8)</f>
        <v>00000010 10010001</v>
      </c>
      <c r="F16" t="str">
        <f>DEC2BIN((D16*2^5)/256,8)&amp;" "&amp;DEC2BIN(MOD((D16*2^5),256),8)</f>
        <v>01010010 00100000</v>
      </c>
      <c r="G16" s="14">
        <f>BIN2DEC(RIGHT(F16,8))+256*BIN2DEC(LEFT(F16,8))</f>
        <v>21024</v>
      </c>
      <c r="H16">
        <f>(1/(2^15))*G16</f>
        <v>0.6416015625</v>
      </c>
    </row>
    <row r="17" spans="7:7" x14ac:dyDescent="0.3">
      <c r="G17" s="14"/>
    </row>
    <row r="18" spans="7:7" x14ac:dyDescent="0.3">
      <c r="G18" s="1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"/>
  <sheetViews>
    <sheetView workbookViewId="0">
      <selection activeCell="F19" sqref="F19"/>
    </sheetView>
  </sheetViews>
  <sheetFormatPr defaultRowHeight="14.4" x14ac:dyDescent="0.3"/>
  <cols>
    <col min="1" max="1" width="6.5546875" bestFit="1" customWidth="1"/>
    <col min="2" max="2" width="25.21875" bestFit="1" customWidth="1"/>
    <col min="3" max="3" width="11.77734375" bestFit="1" customWidth="1"/>
    <col min="4" max="4" width="6.6640625" customWidth="1"/>
    <col min="5" max="5" width="30.33203125" bestFit="1" customWidth="1"/>
    <col min="6" max="6" width="12.44140625" bestFit="1" customWidth="1"/>
    <col min="7" max="7" width="13.44140625" bestFit="1" customWidth="1"/>
    <col min="8" max="8" width="13.77734375" bestFit="1" customWidth="1"/>
    <col min="9" max="9" width="8.5546875" bestFit="1" customWidth="1"/>
    <col min="11" max="11" width="12.109375" bestFit="1" customWidth="1"/>
  </cols>
  <sheetData>
    <row r="2" spans="1:11" x14ac:dyDescent="0.3">
      <c r="A2" t="s">
        <v>80</v>
      </c>
      <c r="B2" t="s">
        <v>4</v>
      </c>
      <c r="C2" t="s">
        <v>4</v>
      </c>
      <c r="E2" t="s">
        <v>5</v>
      </c>
      <c r="F2" t="s">
        <v>4</v>
      </c>
      <c r="I2" t="s">
        <v>4</v>
      </c>
      <c r="J2" t="s">
        <v>4</v>
      </c>
      <c r="K2" t="s">
        <v>4</v>
      </c>
    </row>
    <row r="3" spans="1:11" ht="15.6" x14ac:dyDescent="0.3">
      <c r="A3" s="73" t="s">
        <v>79</v>
      </c>
      <c r="B3" s="74" t="s">
        <v>1</v>
      </c>
      <c r="C3" s="74" t="s">
        <v>64</v>
      </c>
      <c r="D3" s="71" t="s">
        <v>65</v>
      </c>
      <c r="E3" s="74" t="s">
        <v>67</v>
      </c>
      <c r="F3" s="74" t="s">
        <v>66</v>
      </c>
      <c r="G3" s="77" t="s">
        <v>68</v>
      </c>
      <c r="H3" s="78" t="s">
        <v>69</v>
      </c>
      <c r="I3" s="77" t="s">
        <v>70</v>
      </c>
      <c r="J3" s="78" t="s">
        <v>71</v>
      </c>
      <c r="K3" s="72" t="s">
        <v>8</v>
      </c>
    </row>
    <row r="4" spans="1:11" x14ac:dyDescent="0.3">
      <c r="A4" s="21">
        <v>10</v>
      </c>
      <c r="B4" s="67">
        <f>'Q15 Sin Table'!F3</f>
        <v>5899</v>
      </c>
      <c r="C4" s="67">
        <v>9900</v>
      </c>
      <c r="D4" s="13">
        <f>ROUNDDOWN(B4*C4/(2^15),0)</f>
        <v>1782</v>
      </c>
      <c r="E4" s="75">
        <f>'AC Akım'!$R$12</f>
        <v>9920</v>
      </c>
      <c r="F4" s="75">
        <f>D4-E4</f>
        <v>-8138</v>
      </c>
      <c r="G4" s="79">
        <f>ROUNDDOWN(32767*0.18,0)</f>
        <v>5898</v>
      </c>
      <c r="H4" s="80">
        <f>ROUNDDOWN(32767*0.02,0)</f>
        <v>655</v>
      </c>
      <c r="I4" s="79">
        <f>ROUNDDOWN(F4*G4/(2^15),0)</f>
        <v>-1464</v>
      </c>
      <c r="J4" s="80">
        <f>ROUNDDOWN(F4*H4/(2^15),0)</f>
        <v>-162</v>
      </c>
      <c r="K4" s="26">
        <f>I4+J4</f>
        <v>-1626</v>
      </c>
    </row>
    <row r="5" spans="1:11" x14ac:dyDescent="0.3">
      <c r="A5" s="21">
        <v>20</v>
      </c>
      <c r="B5" s="67">
        <f>'Q15 Sin Table'!F4</f>
        <v>10754</v>
      </c>
      <c r="C5" s="67">
        <v>9900</v>
      </c>
      <c r="D5" s="13">
        <f t="shared" ref="D5:D12" si="0">ROUNDDOWN(B5*C5/(2^15),0)</f>
        <v>3249</v>
      </c>
      <c r="E5" s="75">
        <f>'AC Akım'!$R$12</f>
        <v>9920</v>
      </c>
      <c r="F5" s="75">
        <f t="shared" ref="F5:F12" si="1">D5-E5</f>
        <v>-6671</v>
      </c>
      <c r="G5" s="79">
        <f t="shared" ref="G5:G12" si="2">ROUNDDOWN(32767*0.18,0)</f>
        <v>5898</v>
      </c>
      <c r="H5" s="80">
        <f t="shared" ref="H5:H12" si="3">ROUNDDOWN(32767*0.02,0)</f>
        <v>655</v>
      </c>
      <c r="I5" s="79">
        <f t="shared" ref="I5:I12" si="4">ROUNDDOWN(F5*G5/(2^15),0)</f>
        <v>-1200</v>
      </c>
      <c r="J5" s="80">
        <f>ROUNDDOWN(J4+F5*H5/(2^15),0)</f>
        <v>-295</v>
      </c>
      <c r="K5" s="26">
        <f t="shared" ref="K5:K12" si="5">I5+J5</f>
        <v>-1495</v>
      </c>
    </row>
    <row r="6" spans="1:11" x14ac:dyDescent="0.3">
      <c r="A6" s="21">
        <v>30</v>
      </c>
      <c r="B6" s="67">
        <f>'Q15 Sin Table'!F5</f>
        <v>16238</v>
      </c>
      <c r="C6" s="67">
        <v>9900</v>
      </c>
      <c r="D6" s="13">
        <f t="shared" si="0"/>
        <v>4905</v>
      </c>
      <c r="E6" s="75">
        <f>'AC Akım'!$R$12</f>
        <v>9920</v>
      </c>
      <c r="F6" s="75">
        <f t="shared" si="1"/>
        <v>-5015</v>
      </c>
      <c r="G6" s="79">
        <f t="shared" si="2"/>
        <v>5898</v>
      </c>
      <c r="H6" s="80">
        <f t="shared" si="3"/>
        <v>655</v>
      </c>
      <c r="I6" s="79">
        <f t="shared" si="4"/>
        <v>-902</v>
      </c>
      <c r="J6" s="80">
        <f t="shared" ref="J6:J12" si="6">ROUNDDOWN(J5+F6*H6/(2^15),0)</f>
        <v>-395</v>
      </c>
      <c r="K6" s="26">
        <f t="shared" si="5"/>
        <v>-1297</v>
      </c>
    </row>
    <row r="7" spans="1:11" x14ac:dyDescent="0.3">
      <c r="A7" s="21">
        <v>40</v>
      </c>
      <c r="B7" s="67">
        <f>'Q15 Sin Table'!F6</f>
        <v>21173</v>
      </c>
      <c r="C7" s="67">
        <v>9900</v>
      </c>
      <c r="D7" s="13">
        <f t="shared" si="0"/>
        <v>6396</v>
      </c>
      <c r="E7" s="75">
        <f>'AC Akım'!$R$12</f>
        <v>9920</v>
      </c>
      <c r="F7" s="75">
        <f t="shared" si="1"/>
        <v>-3524</v>
      </c>
      <c r="G7" s="79">
        <f t="shared" si="2"/>
        <v>5898</v>
      </c>
      <c r="H7" s="80">
        <f t="shared" si="3"/>
        <v>655</v>
      </c>
      <c r="I7" s="79">
        <f t="shared" si="4"/>
        <v>-634</v>
      </c>
      <c r="J7" s="80">
        <f t="shared" si="6"/>
        <v>-465</v>
      </c>
      <c r="K7" s="26">
        <f t="shared" si="5"/>
        <v>-1099</v>
      </c>
    </row>
    <row r="8" spans="1:11" x14ac:dyDescent="0.3">
      <c r="A8" s="21">
        <v>50</v>
      </c>
      <c r="B8" s="67">
        <f>'Q15 Sin Table'!F7</f>
        <v>24746</v>
      </c>
      <c r="C8" s="67">
        <v>9900</v>
      </c>
      <c r="D8" s="13">
        <f t="shared" si="0"/>
        <v>7476</v>
      </c>
      <c r="E8" s="75">
        <f>'AC Akım'!$R$12</f>
        <v>9920</v>
      </c>
      <c r="F8" s="75">
        <f t="shared" si="1"/>
        <v>-2444</v>
      </c>
      <c r="G8" s="79">
        <f t="shared" si="2"/>
        <v>5898</v>
      </c>
      <c r="H8" s="80">
        <f t="shared" si="3"/>
        <v>655</v>
      </c>
      <c r="I8" s="79">
        <f t="shared" si="4"/>
        <v>-439</v>
      </c>
      <c r="J8" s="80">
        <f t="shared" si="6"/>
        <v>-513</v>
      </c>
      <c r="K8" s="26">
        <f t="shared" si="5"/>
        <v>-952</v>
      </c>
    </row>
    <row r="9" spans="1:11" x14ac:dyDescent="0.3">
      <c r="A9" s="21">
        <v>60</v>
      </c>
      <c r="B9" s="67">
        <f>'Q15 Sin Table'!F8</f>
        <v>28259</v>
      </c>
      <c r="C9" s="67">
        <v>9900</v>
      </c>
      <c r="D9" s="13">
        <f t="shared" si="0"/>
        <v>8537</v>
      </c>
      <c r="E9" s="75">
        <f>'AC Akım'!$R$12</f>
        <v>9920</v>
      </c>
      <c r="F9" s="75">
        <f t="shared" si="1"/>
        <v>-1383</v>
      </c>
      <c r="G9" s="79">
        <f t="shared" si="2"/>
        <v>5898</v>
      </c>
      <c r="H9" s="80">
        <f t="shared" si="3"/>
        <v>655</v>
      </c>
      <c r="I9" s="79">
        <f t="shared" si="4"/>
        <v>-248</v>
      </c>
      <c r="J9" s="80">
        <f t="shared" si="6"/>
        <v>-540</v>
      </c>
      <c r="K9" s="26">
        <f t="shared" si="5"/>
        <v>-788</v>
      </c>
    </row>
    <row r="10" spans="1:11" x14ac:dyDescent="0.3">
      <c r="A10" s="21">
        <v>70</v>
      </c>
      <c r="B10" s="67">
        <f>'Q15 Sin Table'!F9</f>
        <v>30818</v>
      </c>
      <c r="C10" s="67">
        <v>9900</v>
      </c>
      <c r="D10" s="13">
        <f t="shared" si="0"/>
        <v>9310</v>
      </c>
      <c r="E10" s="75">
        <f>'AC Akım'!$R$12</f>
        <v>9920</v>
      </c>
      <c r="F10" s="75">
        <f t="shared" si="1"/>
        <v>-610</v>
      </c>
      <c r="G10" s="79">
        <f t="shared" si="2"/>
        <v>5898</v>
      </c>
      <c r="H10" s="80">
        <f t="shared" si="3"/>
        <v>655</v>
      </c>
      <c r="I10" s="79">
        <f t="shared" si="4"/>
        <v>-109</v>
      </c>
      <c r="J10" s="80">
        <f t="shared" si="6"/>
        <v>-552</v>
      </c>
      <c r="K10" s="26">
        <f t="shared" si="5"/>
        <v>-661</v>
      </c>
    </row>
    <row r="11" spans="1:11" x14ac:dyDescent="0.3">
      <c r="A11" s="21">
        <v>80</v>
      </c>
      <c r="B11" s="67">
        <f>'Q15 Sin Table'!F10</f>
        <v>32335</v>
      </c>
      <c r="C11" s="67">
        <v>9900</v>
      </c>
      <c r="D11" s="13">
        <f t="shared" si="0"/>
        <v>9769</v>
      </c>
      <c r="E11" s="75">
        <f>'AC Akım'!$R$12</f>
        <v>9920</v>
      </c>
      <c r="F11" s="75">
        <f t="shared" si="1"/>
        <v>-151</v>
      </c>
      <c r="G11" s="79">
        <f t="shared" si="2"/>
        <v>5898</v>
      </c>
      <c r="H11" s="80">
        <f t="shared" si="3"/>
        <v>655</v>
      </c>
      <c r="I11" s="79">
        <f t="shared" si="4"/>
        <v>-27</v>
      </c>
      <c r="J11" s="80">
        <f t="shared" si="6"/>
        <v>-555</v>
      </c>
      <c r="K11" s="26">
        <f t="shared" si="5"/>
        <v>-582</v>
      </c>
    </row>
    <row r="12" spans="1:11" x14ac:dyDescent="0.3">
      <c r="A12" s="23">
        <v>90</v>
      </c>
      <c r="B12" s="68">
        <f>'Q15 Sin Table'!F11</f>
        <v>32767</v>
      </c>
      <c r="C12" s="68">
        <v>9900</v>
      </c>
      <c r="D12" s="24">
        <f t="shared" si="0"/>
        <v>9899</v>
      </c>
      <c r="E12" s="76">
        <f>'AC Akım'!$R$12</f>
        <v>9920</v>
      </c>
      <c r="F12" s="76">
        <f t="shared" si="1"/>
        <v>-21</v>
      </c>
      <c r="G12" s="81">
        <f t="shared" si="2"/>
        <v>5898</v>
      </c>
      <c r="H12" s="82">
        <f t="shared" si="3"/>
        <v>655</v>
      </c>
      <c r="I12" s="81">
        <f t="shared" si="4"/>
        <v>-3</v>
      </c>
      <c r="J12" s="82">
        <f t="shared" si="6"/>
        <v>-555</v>
      </c>
      <c r="K12" s="27">
        <f t="shared" si="5"/>
        <v>-558</v>
      </c>
    </row>
    <row r="16" spans="1:11" x14ac:dyDescent="0.3">
      <c r="B16" t="s">
        <v>72</v>
      </c>
    </row>
    <row r="17" spans="2:6" x14ac:dyDescent="0.3">
      <c r="B17" t="s">
        <v>73</v>
      </c>
    </row>
    <row r="18" spans="2:6" x14ac:dyDescent="0.3">
      <c r="B18" t="s">
        <v>74</v>
      </c>
      <c r="F18" s="86" t="s">
        <v>78</v>
      </c>
    </row>
    <row r="20" spans="2:6" x14ac:dyDescent="0.3">
      <c r="B20" t="s">
        <v>75</v>
      </c>
    </row>
    <row r="22" spans="2:6" x14ac:dyDescent="0.3">
      <c r="B22" t="s">
        <v>76</v>
      </c>
    </row>
    <row r="24" spans="2:6" x14ac:dyDescent="0.3">
      <c r="B24" t="s">
        <v>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S26"/>
  <sheetViews>
    <sheetView topLeftCell="B1" workbookViewId="0">
      <selection activeCell="P5" sqref="P5"/>
    </sheetView>
  </sheetViews>
  <sheetFormatPr defaultRowHeight="14.4" x14ac:dyDescent="0.3"/>
  <cols>
    <col min="10" max="10" width="10.33203125" customWidth="1"/>
    <col min="11" max="11" width="10" customWidth="1"/>
    <col min="13" max="13" width="17.21875" bestFit="1" customWidth="1"/>
    <col min="14" max="14" width="12.21875" bestFit="1" customWidth="1"/>
    <col min="15" max="15" width="16.77734375" customWidth="1"/>
    <col min="16" max="17" width="17.6640625" bestFit="1" customWidth="1"/>
  </cols>
  <sheetData>
    <row r="6" spans="6:19" x14ac:dyDescent="0.3">
      <c r="N6" s="59" t="s">
        <v>43</v>
      </c>
      <c r="Q6" s="88" t="s">
        <v>4</v>
      </c>
      <c r="R6" s="88"/>
      <c r="S6" s="88"/>
    </row>
    <row r="7" spans="6:19" ht="43.2" x14ac:dyDescent="0.3">
      <c r="J7" s="64" t="s">
        <v>44</v>
      </c>
      <c r="K7" s="65" t="s">
        <v>45</v>
      </c>
      <c r="L7" s="66" t="s">
        <v>46</v>
      </c>
      <c r="M7" s="69" t="s">
        <v>47</v>
      </c>
      <c r="N7" s="64" t="s">
        <v>48</v>
      </c>
      <c r="O7" s="65" t="s">
        <v>26</v>
      </c>
      <c r="P7" s="65" t="s">
        <v>49</v>
      </c>
      <c r="Q7" s="65" t="s">
        <v>28</v>
      </c>
      <c r="R7" s="37" t="s">
        <v>29</v>
      </c>
      <c r="S7" s="66" t="s">
        <v>30</v>
      </c>
    </row>
    <row r="8" spans="6:19" x14ac:dyDescent="0.3">
      <c r="J8" s="21">
        <v>2.13</v>
      </c>
      <c r="K8" s="13">
        <f>2500+J8*185</f>
        <v>2894.05</v>
      </c>
      <c r="L8" s="26">
        <f>K8-2500</f>
        <v>394.05000000000018</v>
      </c>
      <c r="M8" s="67">
        <f>K8/1000</f>
        <v>2.89405</v>
      </c>
      <c r="N8" s="21">
        <f>(2*(5*(3.3/5.7)*(1/2))-M8)*(1+(5.1/1.6))</f>
        <v>2.8761513157880558E-3</v>
      </c>
      <c r="O8" s="13">
        <f>ROUNDDOWN(1024*N8/3.3,0)</f>
        <v>0</v>
      </c>
      <c r="P8" s="13" t="str">
        <f>DEC2BIN(O8/256,8)&amp;" "&amp;DEC2BIN(MOD(O8,256),8)</f>
        <v>00000000 00000000</v>
      </c>
      <c r="Q8" s="13" t="str">
        <f>DEC2BIN((O8*2^5)/256,8)&amp;" "&amp;DEC2BIN(MOD((O8*2^5),256),8)</f>
        <v>00000000 00000000</v>
      </c>
      <c r="R8" s="13">
        <f>BIN2DEC(RIGHT(Q8,8))+256*BIN2DEC(LEFT(Q8,8))</f>
        <v>0</v>
      </c>
      <c r="S8" s="26">
        <f>(1/(2^15))*R8</f>
        <v>0</v>
      </c>
    </row>
    <row r="9" spans="6:19" s="59" customFormat="1" x14ac:dyDescent="0.3">
      <c r="I9" s="59">
        <v>0</v>
      </c>
      <c r="J9" s="21">
        <v>0</v>
      </c>
      <c r="K9" s="13">
        <f>2500+J9*185</f>
        <v>2500</v>
      </c>
      <c r="L9" s="26">
        <f>K9-2500</f>
        <v>0</v>
      </c>
      <c r="M9" s="67">
        <f>K9/1000</f>
        <v>2.5</v>
      </c>
      <c r="N9" s="21">
        <f>(2*(5*(3.3/5.7)*(1/2))-M9)*(1+(5.1/1.6))</f>
        <v>1.652960526315788</v>
      </c>
      <c r="O9" s="13">
        <f>ROUNDDOWN(1024*N9/3.3,0)</f>
        <v>512</v>
      </c>
      <c r="P9" s="13" t="str">
        <f>DEC2BIN(O9/256,8)&amp;" "&amp;DEC2BIN(MOD(O9,256),8)</f>
        <v>00000010 00000000</v>
      </c>
      <c r="Q9" s="13" t="str">
        <f>DEC2BIN((O9*2^5)/256,8)&amp;" "&amp;DEC2BIN(MOD((O9*2^5),256),8)</f>
        <v>01000000 00000000</v>
      </c>
      <c r="R9" s="13">
        <f>BIN2DEC(RIGHT(Q9,8))+256*BIN2DEC(LEFT(Q9,8))</f>
        <v>16384</v>
      </c>
      <c r="S9" s="26">
        <f>(1/(2^15))*R9</f>
        <v>0.5</v>
      </c>
    </row>
    <row r="10" spans="6:19" s="59" customFormat="1" x14ac:dyDescent="0.3">
      <c r="J10" s="23">
        <v>-2.13</v>
      </c>
      <c r="K10" s="24">
        <f>2500+J10*185</f>
        <v>2105.9499999999998</v>
      </c>
      <c r="L10" s="27">
        <f>K10-2500</f>
        <v>-394.05000000000018</v>
      </c>
      <c r="M10" s="68">
        <f>K10/1000</f>
        <v>2.10595</v>
      </c>
      <c r="N10" s="23">
        <f>(2*(5*(3.3/5.7)*(1/2))-M10)*(1+(5.1/1.6))</f>
        <v>3.3030449013157881</v>
      </c>
      <c r="O10" s="24">
        <f>ROUNDDOWN(1024*N10/3.3,0)</f>
        <v>1024</v>
      </c>
      <c r="P10" s="24" t="str">
        <f>DEC2BIN(O10/256,8)&amp;" "&amp;DEC2BIN(MOD(O10,256),8)</f>
        <v>00000100 00000000</v>
      </c>
      <c r="Q10" s="24" t="str">
        <f>DEC2BIN((O10*2^5)/256,8)&amp;" "&amp;DEC2BIN(MOD((O10*2^5),256),8)</f>
        <v>10000000 00000000</v>
      </c>
      <c r="R10" s="24">
        <f>BIN2DEC(RIGHT(Q10,8))+256*BIN2DEC(LEFT(Q10,8))</f>
        <v>32768</v>
      </c>
      <c r="S10" s="27">
        <f>(1/(2^15))*R10</f>
        <v>1</v>
      </c>
    </row>
    <row r="11" spans="6:19" x14ac:dyDescent="0.3">
      <c r="P11" s="63"/>
      <c r="Q11" s="63"/>
    </row>
    <row r="12" spans="6:19" ht="18" x14ac:dyDescent="0.35">
      <c r="J12" s="58">
        <v>0.84</v>
      </c>
      <c r="K12" s="16">
        <f>2500+J12*185</f>
        <v>2655.4</v>
      </c>
      <c r="L12" s="16">
        <f>K12-2500</f>
        <v>155.40000000000009</v>
      </c>
      <c r="M12" s="16">
        <f>K12/1000</f>
        <v>2.6554000000000002</v>
      </c>
      <c r="N12" s="16">
        <f>(2*(5*(3.3/5.7)*(1/2))-M12)*(1+(5.1/1.6))</f>
        <v>1.0022230263157872</v>
      </c>
      <c r="O12" s="16">
        <f>ROUNDDOWN(1024*N12/3.3,0)</f>
        <v>310</v>
      </c>
      <c r="P12" s="16" t="str">
        <f>DEC2BIN(O12/256,8)&amp;" "&amp;DEC2BIN(MOD(O12,256),8)</f>
        <v>00000001 00110110</v>
      </c>
      <c r="Q12" s="16" t="str">
        <f>DEC2BIN((O12*2^5)/256,8)&amp;" "&amp;DEC2BIN(MOD((O12*2^5),256),8)</f>
        <v>00100110 11000000</v>
      </c>
      <c r="R12" s="70">
        <f>BIN2DEC(RIGHT(Q12,8))+256*BIN2DEC(LEFT(Q12,8))</f>
        <v>9920</v>
      </c>
      <c r="S12" s="16">
        <f>(1/(2^15))*R12</f>
        <v>0.302734375</v>
      </c>
    </row>
    <row r="13" spans="6:19" ht="15.6" x14ac:dyDescent="0.3">
      <c r="J13" s="85">
        <v>-0.84</v>
      </c>
      <c r="K13" s="84">
        <f>2500+J13*185</f>
        <v>2344.6</v>
      </c>
      <c r="L13" s="84">
        <f>K13-2500</f>
        <v>-155.40000000000009</v>
      </c>
      <c r="M13" s="84">
        <f>K13/1000</f>
        <v>2.3445999999999998</v>
      </c>
      <c r="N13" s="84">
        <f>(2*(5*(3.3/5.7)*(1/2))-M13)*(1+(5.1/1.6))</f>
        <v>2.3036980263157889</v>
      </c>
      <c r="O13" s="84">
        <f>ROUNDDOWN(1024*N13/3.3,0)</f>
        <v>714</v>
      </c>
      <c r="P13" s="84" t="str">
        <f>DEC2BIN(O13/256,8)&amp;" "&amp;DEC2BIN(MOD(O13,256),8)</f>
        <v>00000010 11001010</v>
      </c>
      <c r="Q13" s="84" t="str">
        <f>DEC2BIN((O13*2^5)/256,8)&amp;" "&amp;DEC2BIN(MOD((O13*2^5),256),8)</f>
        <v>01011001 01000000</v>
      </c>
      <c r="R13" s="83">
        <f>BIN2DEC(RIGHT(Q13,8))+256*BIN2DEC(LEFT(Q13,8))</f>
        <v>22848</v>
      </c>
      <c r="S13" s="84">
        <f>(1/(2^15))*R13</f>
        <v>0.697265625</v>
      </c>
    </row>
    <row r="14" spans="6:19" x14ac:dyDescent="0.3">
      <c r="P14" s="63"/>
    </row>
    <row r="15" spans="6:19" ht="18" x14ac:dyDescent="0.35">
      <c r="F15" s="61" t="s">
        <v>50</v>
      </c>
      <c r="J15" s="59"/>
      <c r="K15" s="59"/>
      <c r="L15" s="59"/>
      <c r="M15" s="59" t="s">
        <v>53</v>
      </c>
      <c r="N15" s="59"/>
      <c r="O15" s="59"/>
      <c r="P15" s="88" t="s">
        <v>4</v>
      </c>
      <c r="Q15" s="88"/>
      <c r="R15" s="88"/>
    </row>
    <row r="16" spans="6:19" x14ac:dyDescent="0.3">
      <c r="F16" s="62" t="s">
        <v>51</v>
      </c>
      <c r="G16" t="s">
        <v>52</v>
      </c>
      <c r="J16" s="59" t="s">
        <v>54</v>
      </c>
      <c r="K16" s="59" t="s">
        <v>55</v>
      </c>
      <c r="L16" s="59" t="s">
        <v>56</v>
      </c>
      <c r="M16" s="59" t="s">
        <v>57</v>
      </c>
      <c r="N16" s="59" t="s">
        <v>26</v>
      </c>
      <c r="O16" s="59" t="s">
        <v>27</v>
      </c>
      <c r="P16" s="59" t="s">
        <v>28</v>
      </c>
      <c r="Q16" s="59" t="s">
        <v>29</v>
      </c>
      <c r="R16" s="59" t="s">
        <v>30</v>
      </c>
      <c r="S16" s="59" t="s">
        <v>58</v>
      </c>
    </row>
    <row r="17" spans="3:19" x14ac:dyDescent="0.3">
      <c r="J17" s="59">
        <v>1.6</v>
      </c>
      <c r="K17" s="59">
        <v>0.185</v>
      </c>
      <c r="L17" s="59">
        <v>4.1875</v>
      </c>
      <c r="M17" s="59">
        <f>J17*K17*L17</f>
        <v>1.2395</v>
      </c>
      <c r="N17" s="59">
        <f>ROUNDDOWN(1024*M17/3.3,0)</f>
        <v>384</v>
      </c>
      <c r="O17" s="59" t="str">
        <f>DEC2BIN(N17/256,8)&amp;" "&amp;DEC2BIN(MOD(N17,256),8)</f>
        <v>00000001 10000000</v>
      </c>
      <c r="P17" s="59" t="str">
        <f>DEC2BIN((N17*2^5)/256,8)&amp;" "&amp;DEC2BIN(MOD((N17*2^5),256),8)</f>
        <v>00110000 00000000</v>
      </c>
      <c r="Q17" s="59">
        <f>BIN2DEC(RIGHT(P17,8))+256*BIN2DEC(LEFT(P17,8))</f>
        <v>12288</v>
      </c>
      <c r="R17" s="59">
        <f>(1/(2^15))*Q17</f>
        <v>0.375</v>
      </c>
      <c r="S17">
        <f>N17*2^5</f>
        <v>12288</v>
      </c>
    </row>
    <row r="18" spans="3:19" x14ac:dyDescent="0.3">
      <c r="F18" t="s">
        <v>44</v>
      </c>
      <c r="G18" t="s">
        <v>45</v>
      </c>
      <c r="H18" t="s">
        <v>46</v>
      </c>
      <c r="J18" s="59">
        <v>1.3</v>
      </c>
      <c r="K18" s="59">
        <v>0.185</v>
      </c>
      <c r="L18" s="59">
        <v>4.1875</v>
      </c>
      <c r="M18" s="59">
        <f>J18*K18*L18</f>
        <v>1.0070937499999999</v>
      </c>
      <c r="N18" s="59">
        <f>ROUNDDOWN(1024*M18/3.3,0)</f>
        <v>312</v>
      </c>
      <c r="O18" s="59" t="str">
        <f>DEC2BIN(N18/256,8)&amp;" "&amp;DEC2BIN(MOD(N18,256),8)</f>
        <v>00000001 00111000</v>
      </c>
      <c r="P18" s="59" t="str">
        <f>DEC2BIN((N18*2^5)/256,8)&amp;" "&amp;DEC2BIN(MOD((N18*2^5),256),8)</f>
        <v>00100111 00000000</v>
      </c>
      <c r="Q18" s="59">
        <f>BIN2DEC(RIGHT(P18,8))+256*BIN2DEC(LEFT(P18,8))</f>
        <v>9984</v>
      </c>
      <c r="R18" s="59">
        <f>(1/(2^15))*Q18</f>
        <v>0.3046875</v>
      </c>
      <c r="S18">
        <f>N18*2^5</f>
        <v>9984</v>
      </c>
    </row>
    <row r="19" spans="3:19" x14ac:dyDescent="0.3">
      <c r="F19">
        <v>2.14</v>
      </c>
      <c r="G19">
        <f>2500+F19*185</f>
        <v>2895.9</v>
      </c>
      <c r="H19">
        <f>G19-2500</f>
        <v>395.90000000000009</v>
      </c>
    </row>
    <row r="20" spans="3:19" x14ac:dyDescent="0.3">
      <c r="F20">
        <v>-2.14</v>
      </c>
      <c r="G20">
        <f>2500+F20*185</f>
        <v>2104.1</v>
      </c>
      <c r="H20">
        <f>G20-2500</f>
        <v>-395.90000000000009</v>
      </c>
    </row>
    <row r="22" spans="3:19" x14ac:dyDescent="0.3">
      <c r="J22" s="63" t="s">
        <v>59</v>
      </c>
    </row>
    <row r="23" spans="3:19" x14ac:dyDescent="0.3">
      <c r="J23" s="63" t="s">
        <v>60</v>
      </c>
      <c r="L23" s="63"/>
      <c r="M23" s="63"/>
      <c r="N23" s="63"/>
    </row>
    <row r="24" spans="3:19" x14ac:dyDescent="0.3">
      <c r="C24" t="s">
        <v>84</v>
      </c>
      <c r="D24" t="s">
        <v>83</v>
      </c>
      <c r="E24" t="s">
        <v>82</v>
      </c>
      <c r="F24" t="s">
        <v>81</v>
      </c>
      <c r="J24" s="63"/>
      <c r="L24" s="63"/>
      <c r="M24" s="63"/>
      <c r="N24" s="63" t="s">
        <v>61</v>
      </c>
    </row>
    <row r="25" spans="3:19" x14ac:dyDescent="0.3">
      <c r="C25">
        <v>215</v>
      </c>
      <c r="D25">
        <v>230</v>
      </c>
      <c r="E25">
        <f>C25/D25</f>
        <v>0.93478260869565222</v>
      </c>
      <c r="F25" s="1">
        <f>ROUNDDOWN(E25*SQRT(2),1)</f>
        <v>1.3</v>
      </c>
      <c r="J25" s="63"/>
      <c r="K25" s="63"/>
      <c r="L25" s="63"/>
      <c r="M25" s="63"/>
      <c r="N25" s="63" t="s">
        <v>62</v>
      </c>
    </row>
    <row r="26" spans="3:19" x14ac:dyDescent="0.3">
      <c r="C26">
        <v>100</v>
      </c>
      <c r="D26">
        <v>85</v>
      </c>
      <c r="E26">
        <f>C26/D26</f>
        <v>1.1764705882352942</v>
      </c>
      <c r="F26" s="1">
        <f>ROUNDDOWN(E26*SQRT(2),1)</f>
        <v>1.6</v>
      </c>
      <c r="J26" s="63"/>
      <c r="K26" s="63"/>
      <c r="L26" s="63"/>
      <c r="M26" s="63"/>
      <c r="N26" s="63" t="s">
        <v>63</v>
      </c>
    </row>
  </sheetData>
  <mergeCells count="2">
    <mergeCell ref="Q6:S6"/>
    <mergeCell ref="P15:R1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2"/>
  <sheetViews>
    <sheetView workbookViewId="0">
      <selection activeCell="D4" sqref="D4"/>
    </sheetView>
  </sheetViews>
  <sheetFormatPr defaultRowHeight="14.4" x14ac:dyDescent="0.3"/>
  <sheetData>
    <row r="1" spans="1:6" ht="15.6" x14ac:dyDescent="0.3">
      <c r="A1">
        <v>0</v>
      </c>
      <c r="F1" s="18" t="s">
        <v>35</v>
      </c>
    </row>
    <row r="2" spans="1:6" x14ac:dyDescent="0.3">
      <c r="A2">
        <v>101</v>
      </c>
      <c r="D2" t="s">
        <v>20</v>
      </c>
      <c r="E2" t="s">
        <v>22</v>
      </c>
      <c r="F2" t="s">
        <v>21</v>
      </c>
    </row>
    <row r="3" spans="1:6" x14ac:dyDescent="0.3">
      <c r="A3">
        <v>201</v>
      </c>
      <c r="D3">
        <v>10</v>
      </c>
      <c r="E3">
        <f>ROUND((512/90)*D3,-1)</f>
        <v>60</v>
      </c>
      <c r="F3">
        <f>A60</f>
        <v>5899</v>
      </c>
    </row>
    <row r="4" spans="1:6" x14ac:dyDescent="0.3">
      <c r="A4">
        <v>302</v>
      </c>
      <c r="D4">
        <v>20</v>
      </c>
      <c r="E4">
        <f t="shared" ref="E4:E11" si="0">ROUND((512/90)*D4,-1)</f>
        <v>110</v>
      </c>
      <c r="F4">
        <f>A110</f>
        <v>10754</v>
      </c>
    </row>
    <row r="5" spans="1:6" x14ac:dyDescent="0.3">
      <c r="A5">
        <v>402</v>
      </c>
      <c r="D5">
        <v>30</v>
      </c>
      <c r="E5">
        <f t="shared" si="0"/>
        <v>170</v>
      </c>
      <c r="F5">
        <f>A170</f>
        <v>16238</v>
      </c>
    </row>
    <row r="6" spans="1:6" x14ac:dyDescent="0.3">
      <c r="A6">
        <v>503</v>
      </c>
      <c r="D6">
        <v>40</v>
      </c>
      <c r="E6">
        <f t="shared" si="0"/>
        <v>230</v>
      </c>
      <c r="F6">
        <f>A230</f>
        <v>21173</v>
      </c>
    </row>
    <row r="7" spans="1:6" x14ac:dyDescent="0.3">
      <c r="A7">
        <v>603</v>
      </c>
      <c r="D7">
        <v>50</v>
      </c>
      <c r="E7">
        <f t="shared" si="0"/>
        <v>280</v>
      </c>
      <c r="F7">
        <f>A280</f>
        <v>24746</v>
      </c>
    </row>
    <row r="8" spans="1:6" x14ac:dyDescent="0.3">
      <c r="A8">
        <v>704</v>
      </c>
      <c r="D8">
        <v>60</v>
      </c>
      <c r="E8">
        <f t="shared" si="0"/>
        <v>340</v>
      </c>
      <c r="F8">
        <f>A340</f>
        <v>28259</v>
      </c>
    </row>
    <row r="9" spans="1:6" x14ac:dyDescent="0.3">
      <c r="A9">
        <v>804</v>
      </c>
      <c r="D9">
        <v>70</v>
      </c>
      <c r="E9">
        <f t="shared" si="0"/>
        <v>400</v>
      </c>
      <c r="F9">
        <f>A400</f>
        <v>30818</v>
      </c>
    </row>
    <row r="10" spans="1:6" x14ac:dyDescent="0.3">
      <c r="A10">
        <v>905</v>
      </c>
      <c r="D10">
        <v>80</v>
      </c>
      <c r="E10">
        <f t="shared" si="0"/>
        <v>460</v>
      </c>
      <c r="F10">
        <f>A460</f>
        <v>32335</v>
      </c>
    </row>
    <row r="11" spans="1:6" x14ac:dyDescent="0.3">
      <c r="A11">
        <v>1005</v>
      </c>
      <c r="D11">
        <v>90</v>
      </c>
      <c r="E11">
        <f t="shared" si="0"/>
        <v>510</v>
      </c>
      <c r="F11">
        <f>A512</f>
        <v>32767</v>
      </c>
    </row>
    <row r="12" spans="1:6" x14ac:dyDescent="0.3">
      <c r="A12">
        <v>1106</v>
      </c>
    </row>
    <row r="13" spans="1:6" x14ac:dyDescent="0.3">
      <c r="A13">
        <v>1206</v>
      </c>
    </row>
    <row r="14" spans="1:6" x14ac:dyDescent="0.3">
      <c r="A14">
        <v>1307</v>
      </c>
    </row>
    <row r="15" spans="1:6" x14ac:dyDescent="0.3">
      <c r="A15">
        <v>1407</v>
      </c>
    </row>
    <row r="16" spans="1:6" x14ac:dyDescent="0.3">
      <c r="A16">
        <v>1507</v>
      </c>
    </row>
    <row r="17" spans="1:1" x14ac:dyDescent="0.3">
      <c r="A17">
        <v>1608</v>
      </c>
    </row>
    <row r="18" spans="1:1" x14ac:dyDescent="0.3">
      <c r="A18">
        <v>1708</v>
      </c>
    </row>
    <row r="19" spans="1:1" x14ac:dyDescent="0.3">
      <c r="A19">
        <v>1809</v>
      </c>
    </row>
    <row r="20" spans="1:1" x14ac:dyDescent="0.3">
      <c r="A20">
        <v>1909</v>
      </c>
    </row>
    <row r="21" spans="1:1" x14ac:dyDescent="0.3">
      <c r="A21">
        <v>2009</v>
      </c>
    </row>
    <row r="22" spans="1:1" x14ac:dyDescent="0.3">
      <c r="A22">
        <v>2110</v>
      </c>
    </row>
    <row r="23" spans="1:1" x14ac:dyDescent="0.3">
      <c r="A23">
        <v>2210</v>
      </c>
    </row>
    <row r="24" spans="1:1" x14ac:dyDescent="0.3">
      <c r="A24">
        <v>2310</v>
      </c>
    </row>
    <row r="25" spans="1:1" x14ac:dyDescent="0.3">
      <c r="A25">
        <v>2410</v>
      </c>
    </row>
    <row r="26" spans="1:1" x14ac:dyDescent="0.3">
      <c r="A26">
        <v>2511</v>
      </c>
    </row>
    <row r="27" spans="1:1" x14ac:dyDescent="0.3">
      <c r="A27">
        <v>2611</v>
      </c>
    </row>
    <row r="28" spans="1:1" x14ac:dyDescent="0.3">
      <c r="A28">
        <v>2711</v>
      </c>
    </row>
    <row r="29" spans="1:1" x14ac:dyDescent="0.3">
      <c r="A29">
        <v>2811</v>
      </c>
    </row>
    <row r="30" spans="1:1" x14ac:dyDescent="0.3">
      <c r="A30">
        <v>2911</v>
      </c>
    </row>
    <row r="31" spans="1:1" x14ac:dyDescent="0.3">
      <c r="A31">
        <v>3012</v>
      </c>
    </row>
    <row r="32" spans="1:1" x14ac:dyDescent="0.3">
      <c r="A32">
        <v>3112</v>
      </c>
    </row>
    <row r="33" spans="1:1" x14ac:dyDescent="0.3">
      <c r="A33">
        <v>3212</v>
      </c>
    </row>
    <row r="34" spans="1:1" x14ac:dyDescent="0.3">
      <c r="A34">
        <v>3312</v>
      </c>
    </row>
    <row r="35" spans="1:1" x14ac:dyDescent="0.3">
      <c r="A35">
        <v>3412</v>
      </c>
    </row>
    <row r="36" spans="1:1" x14ac:dyDescent="0.3">
      <c r="A36">
        <v>3512</v>
      </c>
    </row>
    <row r="37" spans="1:1" x14ac:dyDescent="0.3">
      <c r="A37">
        <v>3612</v>
      </c>
    </row>
    <row r="38" spans="1:1" x14ac:dyDescent="0.3">
      <c r="A38">
        <v>3712</v>
      </c>
    </row>
    <row r="39" spans="1:1" x14ac:dyDescent="0.3">
      <c r="A39">
        <v>3811</v>
      </c>
    </row>
    <row r="40" spans="1:1" x14ac:dyDescent="0.3">
      <c r="A40">
        <v>3911</v>
      </c>
    </row>
    <row r="41" spans="1:1" x14ac:dyDescent="0.3">
      <c r="A41">
        <v>4011</v>
      </c>
    </row>
    <row r="42" spans="1:1" x14ac:dyDescent="0.3">
      <c r="A42">
        <v>4111</v>
      </c>
    </row>
    <row r="43" spans="1:1" x14ac:dyDescent="0.3">
      <c r="A43">
        <v>4210</v>
      </c>
    </row>
    <row r="44" spans="1:1" x14ac:dyDescent="0.3">
      <c r="A44">
        <v>4310</v>
      </c>
    </row>
    <row r="45" spans="1:1" x14ac:dyDescent="0.3">
      <c r="A45">
        <v>4410</v>
      </c>
    </row>
    <row r="46" spans="1:1" x14ac:dyDescent="0.3">
      <c r="A46">
        <v>4509</v>
      </c>
    </row>
    <row r="47" spans="1:1" x14ac:dyDescent="0.3">
      <c r="A47">
        <v>4609</v>
      </c>
    </row>
    <row r="48" spans="1:1" x14ac:dyDescent="0.3">
      <c r="A48">
        <v>4708</v>
      </c>
    </row>
    <row r="49" spans="1:1" x14ac:dyDescent="0.3">
      <c r="A49">
        <v>4808</v>
      </c>
    </row>
    <row r="50" spans="1:1" x14ac:dyDescent="0.3">
      <c r="A50">
        <v>4907</v>
      </c>
    </row>
    <row r="51" spans="1:1" x14ac:dyDescent="0.3">
      <c r="A51">
        <v>5007</v>
      </c>
    </row>
    <row r="52" spans="1:1" x14ac:dyDescent="0.3">
      <c r="A52">
        <v>5106</v>
      </c>
    </row>
    <row r="53" spans="1:1" x14ac:dyDescent="0.3">
      <c r="A53">
        <v>5205</v>
      </c>
    </row>
    <row r="54" spans="1:1" x14ac:dyDescent="0.3">
      <c r="A54">
        <v>5305</v>
      </c>
    </row>
    <row r="55" spans="1:1" x14ac:dyDescent="0.3">
      <c r="A55">
        <v>5404</v>
      </c>
    </row>
    <row r="56" spans="1:1" x14ac:dyDescent="0.3">
      <c r="A56">
        <v>5503</v>
      </c>
    </row>
    <row r="57" spans="1:1" x14ac:dyDescent="0.3">
      <c r="A57">
        <v>5602</v>
      </c>
    </row>
    <row r="58" spans="1:1" x14ac:dyDescent="0.3">
      <c r="A58">
        <v>5701</v>
      </c>
    </row>
    <row r="59" spans="1:1" x14ac:dyDescent="0.3">
      <c r="A59">
        <v>5800</v>
      </c>
    </row>
    <row r="60" spans="1:1" x14ac:dyDescent="0.3">
      <c r="A60">
        <v>5899</v>
      </c>
    </row>
    <row r="61" spans="1:1" x14ac:dyDescent="0.3">
      <c r="A61">
        <v>5998</v>
      </c>
    </row>
    <row r="62" spans="1:1" x14ac:dyDescent="0.3">
      <c r="A62">
        <v>6096</v>
      </c>
    </row>
    <row r="63" spans="1:1" x14ac:dyDescent="0.3">
      <c r="A63">
        <v>6195</v>
      </c>
    </row>
    <row r="64" spans="1:1" x14ac:dyDescent="0.3">
      <c r="A64">
        <v>6294</v>
      </c>
    </row>
    <row r="65" spans="1:1" x14ac:dyDescent="0.3">
      <c r="A65">
        <v>6393</v>
      </c>
    </row>
    <row r="66" spans="1:1" x14ac:dyDescent="0.3">
      <c r="A66">
        <v>6491</v>
      </c>
    </row>
    <row r="67" spans="1:1" x14ac:dyDescent="0.3">
      <c r="A67">
        <v>6590</v>
      </c>
    </row>
    <row r="68" spans="1:1" x14ac:dyDescent="0.3">
      <c r="A68">
        <v>6688</v>
      </c>
    </row>
    <row r="69" spans="1:1" x14ac:dyDescent="0.3">
      <c r="A69">
        <v>6786</v>
      </c>
    </row>
    <row r="70" spans="1:1" x14ac:dyDescent="0.3">
      <c r="A70">
        <v>6885</v>
      </c>
    </row>
    <row r="71" spans="1:1" x14ac:dyDescent="0.3">
      <c r="A71">
        <v>6983</v>
      </c>
    </row>
    <row r="72" spans="1:1" x14ac:dyDescent="0.3">
      <c r="A72">
        <v>7081</v>
      </c>
    </row>
    <row r="73" spans="1:1" x14ac:dyDescent="0.3">
      <c r="A73">
        <v>7179</v>
      </c>
    </row>
    <row r="74" spans="1:1" x14ac:dyDescent="0.3">
      <c r="A74">
        <v>7277</v>
      </c>
    </row>
    <row r="75" spans="1:1" x14ac:dyDescent="0.3">
      <c r="A75">
        <v>7375</v>
      </c>
    </row>
    <row r="76" spans="1:1" x14ac:dyDescent="0.3">
      <c r="A76">
        <v>7473</v>
      </c>
    </row>
    <row r="77" spans="1:1" x14ac:dyDescent="0.3">
      <c r="A77">
        <v>7571</v>
      </c>
    </row>
    <row r="78" spans="1:1" x14ac:dyDescent="0.3">
      <c r="A78">
        <v>7669</v>
      </c>
    </row>
    <row r="79" spans="1:1" x14ac:dyDescent="0.3">
      <c r="A79">
        <v>7767</v>
      </c>
    </row>
    <row r="80" spans="1:1" x14ac:dyDescent="0.3">
      <c r="A80">
        <v>7864</v>
      </c>
    </row>
    <row r="81" spans="1:1" x14ac:dyDescent="0.3">
      <c r="A81">
        <v>7962</v>
      </c>
    </row>
    <row r="82" spans="1:1" x14ac:dyDescent="0.3">
      <c r="A82">
        <v>8059</v>
      </c>
    </row>
    <row r="83" spans="1:1" x14ac:dyDescent="0.3">
      <c r="A83">
        <v>8157</v>
      </c>
    </row>
    <row r="84" spans="1:1" x14ac:dyDescent="0.3">
      <c r="A84">
        <v>8254</v>
      </c>
    </row>
    <row r="85" spans="1:1" x14ac:dyDescent="0.3">
      <c r="A85">
        <v>8351</v>
      </c>
    </row>
    <row r="86" spans="1:1" x14ac:dyDescent="0.3">
      <c r="A86">
        <v>8448</v>
      </c>
    </row>
    <row r="87" spans="1:1" x14ac:dyDescent="0.3">
      <c r="A87">
        <v>8545</v>
      </c>
    </row>
    <row r="88" spans="1:1" x14ac:dyDescent="0.3">
      <c r="A88">
        <v>8642</v>
      </c>
    </row>
    <row r="89" spans="1:1" x14ac:dyDescent="0.3">
      <c r="A89">
        <v>8739</v>
      </c>
    </row>
    <row r="90" spans="1:1" x14ac:dyDescent="0.3">
      <c r="A90">
        <v>8836</v>
      </c>
    </row>
    <row r="91" spans="1:1" x14ac:dyDescent="0.3">
      <c r="A91">
        <v>8933</v>
      </c>
    </row>
    <row r="92" spans="1:1" x14ac:dyDescent="0.3">
      <c r="A92">
        <v>9030</v>
      </c>
    </row>
    <row r="93" spans="1:1" x14ac:dyDescent="0.3">
      <c r="A93">
        <v>9126</v>
      </c>
    </row>
    <row r="94" spans="1:1" x14ac:dyDescent="0.3">
      <c r="A94">
        <v>9223</v>
      </c>
    </row>
    <row r="95" spans="1:1" x14ac:dyDescent="0.3">
      <c r="A95">
        <v>9319</v>
      </c>
    </row>
    <row r="96" spans="1:1" x14ac:dyDescent="0.3">
      <c r="A96">
        <v>9416</v>
      </c>
    </row>
    <row r="97" spans="1:1" x14ac:dyDescent="0.3">
      <c r="A97">
        <v>9512</v>
      </c>
    </row>
    <row r="98" spans="1:1" x14ac:dyDescent="0.3">
      <c r="A98">
        <v>9608</v>
      </c>
    </row>
    <row r="99" spans="1:1" x14ac:dyDescent="0.3">
      <c r="A99">
        <v>9704</v>
      </c>
    </row>
    <row r="100" spans="1:1" x14ac:dyDescent="0.3">
      <c r="A100">
        <v>9800</v>
      </c>
    </row>
    <row r="101" spans="1:1" x14ac:dyDescent="0.3">
      <c r="A101">
        <v>9896</v>
      </c>
    </row>
    <row r="102" spans="1:1" x14ac:dyDescent="0.3">
      <c r="A102">
        <v>9992</v>
      </c>
    </row>
    <row r="103" spans="1:1" x14ac:dyDescent="0.3">
      <c r="A103">
        <v>10087</v>
      </c>
    </row>
    <row r="104" spans="1:1" x14ac:dyDescent="0.3">
      <c r="A104">
        <v>10183</v>
      </c>
    </row>
    <row r="105" spans="1:1" x14ac:dyDescent="0.3">
      <c r="A105">
        <v>10278</v>
      </c>
    </row>
    <row r="106" spans="1:1" x14ac:dyDescent="0.3">
      <c r="A106">
        <v>10374</v>
      </c>
    </row>
    <row r="107" spans="1:1" x14ac:dyDescent="0.3">
      <c r="A107">
        <v>10469</v>
      </c>
    </row>
    <row r="108" spans="1:1" x14ac:dyDescent="0.3">
      <c r="A108">
        <v>10564</v>
      </c>
    </row>
    <row r="109" spans="1:1" x14ac:dyDescent="0.3">
      <c r="A109">
        <v>10659</v>
      </c>
    </row>
    <row r="110" spans="1:1" x14ac:dyDescent="0.3">
      <c r="A110">
        <v>10754</v>
      </c>
    </row>
    <row r="111" spans="1:1" x14ac:dyDescent="0.3">
      <c r="A111">
        <v>10849</v>
      </c>
    </row>
    <row r="112" spans="1:1" x14ac:dyDescent="0.3">
      <c r="A112">
        <v>10944</v>
      </c>
    </row>
    <row r="113" spans="1:1" x14ac:dyDescent="0.3">
      <c r="A113">
        <v>11039</v>
      </c>
    </row>
    <row r="114" spans="1:1" x14ac:dyDescent="0.3">
      <c r="A114">
        <v>11133</v>
      </c>
    </row>
    <row r="115" spans="1:1" x14ac:dyDescent="0.3">
      <c r="A115">
        <v>11228</v>
      </c>
    </row>
    <row r="116" spans="1:1" x14ac:dyDescent="0.3">
      <c r="A116">
        <v>11322</v>
      </c>
    </row>
    <row r="117" spans="1:1" x14ac:dyDescent="0.3">
      <c r="A117">
        <v>11417</v>
      </c>
    </row>
    <row r="118" spans="1:1" x14ac:dyDescent="0.3">
      <c r="A118">
        <v>11511</v>
      </c>
    </row>
    <row r="119" spans="1:1" x14ac:dyDescent="0.3">
      <c r="A119">
        <v>11605</v>
      </c>
    </row>
    <row r="120" spans="1:1" x14ac:dyDescent="0.3">
      <c r="A120">
        <v>11699</v>
      </c>
    </row>
    <row r="121" spans="1:1" x14ac:dyDescent="0.3">
      <c r="A121">
        <v>11793</v>
      </c>
    </row>
    <row r="122" spans="1:1" x14ac:dyDescent="0.3">
      <c r="A122">
        <v>11886</v>
      </c>
    </row>
    <row r="123" spans="1:1" x14ac:dyDescent="0.3">
      <c r="A123">
        <v>11980</v>
      </c>
    </row>
    <row r="124" spans="1:1" x14ac:dyDescent="0.3">
      <c r="A124">
        <v>12074</v>
      </c>
    </row>
    <row r="125" spans="1:1" x14ac:dyDescent="0.3">
      <c r="A125">
        <v>12167</v>
      </c>
    </row>
    <row r="126" spans="1:1" x14ac:dyDescent="0.3">
      <c r="A126">
        <v>12260</v>
      </c>
    </row>
    <row r="127" spans="1:1" x14ac:dyDescent="0.3">
      <c r="A127">
        <v>12353</v>
      </c>
    </row>
    <row r="128" spans="1:1" x14ac:dyDescent="0.3">
      <c r="A128">
        <v>12446</v>
      </c>
    </row>
    <row r="129" spans="1:1" x14ac:dyDescent="0.3">
      <c r="A129">
        <v>12539</v>
      </c>
    </row>
    <row r="130" spans="1:1" x14ac:dyDescent="0.3">
      <c r="A130">
        <v>12632</v>
      </c>
    </row>
    <row r="131" spans="1:1" x14ac:dyDescent="0.3">
      <c r="A131">
        <v>12725</v>
      </c>
    </row>
    <row r="132" spans="1:1" x14ac:dyDescent="0.3">
      <c r="A132">
        <v>12817</v>
      </c>
    </row>
    <row r="133" spans="1:1" x14ac:dyDescent="0.3">
      <c r="A133">
        <v>12910</v>
      </c>
    </row>
    <row r="134" spans="1:1" x14ac:dyDescent="0.3">
      <c r="A134">
        <v>13002</v>
      </c>
    </row>
    <row r="135" spans="1:1" x14ac:dyDescent="0.3">
      <c r="A135">
        <v>13094</v>
      </c>
    </row>
    <row r="136" spans="1:1" x14ac:dyDescent="0.3">
      <c r="A136">
        <v>13187</v>
      </c>
    </row>
    <row r="137" spans="1:1" x14ac:dyDescent="0.3">
      <c r="A137">
        <v>13279</v>
      </c>
    </row>
    <row r="138" spans="1:1" x14ac:dyDescent="0.3">
      <c r="A138">
        <v>13370</v>
      </c>
    </row>
    <row r="139" spans="1:1" x14ac:dyDescent="0.3">
      <c r="A139">
        <v>13462</v>
      </c>
    </row>
    <row r="140" spans="1:1" x14ac:dyDescent="0.3">
      <c r="A140">
        <v>13554</v>
      </c>
    </row>
    <row r="141" spans="1:1" x14ac:dyDescent="0.3">
      <c r="A141">
        <v>13645</v>
      </c>
    </row>
    <row r="142" spans="1:1" x14ac:dyDescent="0.3">
      <c r="A142">
        <v>13736</v>
      </c>
    </row>
    <row r="143" spans="1:1" x14ac:dyDescent="0.3">
      <c r="A143">
        <v>13828</v>
      </c>
    </row>
    <row r="144" spans="1:1" x14ac:dyDescent="0.3">
      <c r="A144">
        <v>13919</v>
      </c>
    </row>
    <row r="145" spans="1:1" x14ac:dyDescent="0.3">
      <c r="A145">
        <v>14010</v>
      </c>
    </row>
    <row r="146" spans="1:1" x14ac:dyDescent="0.3">
      <c r="A146">
        <v>14101</v>
      </c>
    </row>
    <row r="147" spans="1:1" x14ac:dyDescent="0.3">
      <c r="A147">
        <v>14191</v>
      </c>
    </row>
    <row r="148" spans="1:1" x14ac:dyDescent="0.3">
      <c r="A148">
        <v>14282</v>
      </c>
    </row>
    <row r="149" spans="1:1" x14ac:dyDescent="0.3">
      <c r="A149">
        <v>14372</v>
      </c>
    </row>
    <row r="150" spans="1:1" x14ac:dyDescent="0.3">
      <c r="A150">
        <v>14462</v>
      </c>
    </row>
    <row r="151" spans="1:1" x14ac:dyDescent="0.3">
      <c r="A151">
        <v>14553</v>
      </c>
    </row>
    <row r="152" spans="1:1" x14ac:dyDescent="0.3">
      <c r="A152">
        <v>14643</v>
      </c>
    </row>
    <row r="153" spans="1:1" x14ac:dyDescent="0.3">
      <c r="A153">
        <v>14732</v>
      </c>
    </row>
    <row r="154" spans="1:1" x14ac:dyDescent="0.3">
      <c r="A154">
        <v>14822</v>
      </c>
    </row>
    <row r="155" spans="1:1" x14ac:dyDescent="0.3">
      <c r="A155">
        <v>14912</v>
      </c>
    </row>
    <row r="156" spans="1:1" x14ac:dyDescent="0.3">
      <c r="A156">
        <v>15001</v>
      </c>
    </row>
    <row r="157" spans="1:1" x14ac:dyDescent="0.3">
      <c r="A157">
        <v>15090</v>
      </c>
    </row>
    <row r="158" spans="1:1" x14ac:dyDescent="0.3">
      <c r="A158">
        <v>15180</v>
      </c>
    </row>
    <row r="159" spans="1:1" x14ac:dyDescent="0.3">
      <c r="A159">
        <v>15269</v>
      </c>
    </row>
    <row r="160" spans="1:1" x14ac:dyDescent="0.3">
      <c r="A160">
        <v>15358</v>
      </c>
    </row>
    <row r="161" spans="1:1" x14ac:dyDescent="0.3">
      <c r="A161">
        <v>15446</v>
      </c>
    </row>
    <row r="162" spans="1:1" x14ac:dyDescent="0.3">
      <c r="A162">
        <v>15535</v>
      </c>
    </row>
    <row r="163" spans="1:1" x14ac:dyDescent="0.3">
      <c r="A163">
        <v>15623</v>
      </c>
    </row>
    <row r="164" spans="1:1" x14ac:dyDescent="0.3">
      <c r="A164">
        <v>15712</v>
      </c>
    </row>
    <row r="165" spans="1:1" x14ac:dyDescent="0.3">
      <c r="A165">
        <v>15800</v>
      </c>
    </row>
    <row r="166" spans="1:1" x14ac:dyDescent="0.3">
      <c r="A166">
        <v>15888</v>
      </c>
    </row>
    <row r="167" spans="1:1" x14ac:dyDescent="0.3">
      <c r="A167">
        <v>15976</v>
      </c>
    </row>
    <row r="168" spans="1:1" x14ac:dyDescent="0.3">
      <c r="A168">
        <v>16063</v>
      </c>
    </row>
    <row r="169" spans="1:1" x14ac:dyDescent="0.3">
      <c r="A169">
        <v>16151</v>
      </c>
    </row>
    <row r="170" spans="1:1" x14ac:dyDescent="0.3">
      <c r="A170">
        <v>16238</v>
      </c>
    </row>
    <row r="171" spans="1:1" x14ac:dyDescent="0.3">
      <c r="A171">
        <v>16325</v>
      </c>
    </row>
    <row r="172" spans="1:1" x14ac:dyDescent="0.3">
      <c r="A172">
        <v>16413</v>
      </c>
    </row>
    <row r="173" spans="1:1" x14ac:dyDescent="0.3">
      <c r="A173">
        <v>16499</v>
      </c>
    </row>
    <row r="174" spans="1:1" x14ac:dyDescent="0.3">
      <c r="A174">
        <v>16586</v>
      </c>
    </row>
    <row r="175" spans="1:1" x14ac:dyDescent="0.3">
      <c r="A175">
        <v>16673</v>
      </c>
    </row>
    <row r="176" spans="1:1" x14ac:dyDescent="0.3">
      <c r="A176">
        <v>16759</v>
      </c>
    </row>
    <row r="177" spans="1:1" x14ac:dyDescent="0.3">
      <c r="A177">
        <v>16846</v>
      </c>
    </row>
    <row r="178" spans="1:1" x14ac:dyDescent="0.3">
      <c r="A178">
        <v>16932</v>
      </c>
    </row>
    <row r="179" spans="1:1" x14ac:dyDescent="0.3">
      <c r="A179">
        <v>17018</v>
      </c>
    </row>
    <row r="180" spans="1:1" x14ac:dyDescent="0.3">
      <c r="A180">
        <v>17104</v>
      </c>
    </row>
    <row r="181" spans="1:1" x14ac:dyDescent="0.3">
      <c r="A181">
        <v>17189</v>
      </c>
    </row>
    <row r="182" spans="1:1" x14ac:dyDescent="0.3">
      <c r="A182">
        <v>17275</v>
      </c>
    </row>
    <row r="183" spans="1:1" x14ac:dyDescent="0.3">
      <c r="A183">
        <v>17360</v>
      </c>
    </row>
    <row r="184" spans="1:1" x14ac:dyDescent="0.3">
      <c r="A184">
        <v>17445</v>
      </c>
    </row>
    <row r="185" spans="1:1" x14ac:dyDescent="0.3">
      <c r="A185">
        <v>17530</v>
      </c>
    </row>
    <row r="186" spans="1:1" x14ac:dyDescent="0.3">
      <c r="A186">
        <v>17615</v>
      </c>
    </row>
    <row r="187" spans="1:1" x14ac:dyDescent="0.3">
      <c r="A187">
        <v>17700</v>
      </c>
    </row>
    <row r="188" spans="1:1" x14ac:dyDescent="0.3">
      <c r="A188">
        <v>17784</v>
      </c>
    </row>
    <row r="189" spans="1:1" x14ac:dyDescent="0.3">
      <c r="A189">
        <v>17869</v>
      </c>
    </row>
    <row r="190" spans="1:1" x14ac:dyDescent="0.3">
      <c r="A190">
        <v>17953</v>
      </c>
    </row>
    <row r="191" spans="1:1" x14ac:dyDescent="0.3">
      <c r="A191">
        <v>18037</v>
      </c>
    </row>
    <row r="192" spans="1:1" x14ac:dyDescent="0.3">
      <c r="A192">
        <v>18121</v>
      </c>
    </row>
    <row r="193" spans="1:1" x14ac:dyDescent="0.3">
      <c r="A193">
        <v>18204</v>
      </c>
    </row>
    <row r="194" spans="1:1" x14ac:dyDescent="0.3">
      <c r="A194">
        <v>18288</v>
      </c>
    </row>
    <row r="195" spans="1:1" x14ac:dyDescent="0.3">
      <c r="A195">
        <v>18371</v>
      </c>
    </row>
    <row r="196" spans="1:1" x14ac:dyDescent="0.3">
      <c r="A196">
        <v>18454</v>
      </c>
    </row>
    <row r="197" spans="1:1" x14ac:dyDescent="0.3">
      <c r="A197">
        <v>18537</v>
      </c>
    </row>
    <row r="198" spans="1:1" x14ac:dyDescent="0.3">
      <c r="A198">
        <v>18620</v>
      </c>
    </row>
    <row r="199" spans="1:1" x14ac:dyDescent="0.3">
      <c r="A199">
        <v>18703</v>
      </c>
    </row>
    <row r="200" spans="1:1" x14ac:dyDescent="0.3">
      <c r="A200">
        <v>18785</v>
      </c>
    </row>
    <row r="201" spans="1:1" x14ac:dyDescent="0.3">
      <c r="A201">
        <v>18868</v>
      </c>
    </row>
    <row r="202" spans="1:1" x14ac:dyDescent="0.3">
      <c r="A202">
        <v>18950</v>
      </c>
    </row>
    <row r="203" spans="1:1" x14ac:dyDescent="0.3">
      <c r="A203">
        <v>19032</v>
      </c>
    </row>
    <row r="204" spans="1:1" x14ac:dyDescent="0.3">
      <c r="A204">
        <v>19113</v>
      </c>
    </row>
    <row r="205" spans="1:1" x14ac:dyDescent="0.3">
      <c r="A205">
        <v>19195</v>
      </c>
    </row>
    <row r="206" spans="1:1" x14ac:dyDescent="0.3">
      <c r="A206">
        <v>19276</v>
      </c>
    </row>
    <row r="207" spans="1:1" x14ac:dyDescent="0.3">
      <c r="A207">
        <v>19357</v>
      </c>
    </row>
    <row r="208" spans="1:1" x14ac:dyDescent="0.3">
      <c r="A208">
        <v>19438</v>
      </c>
    </row>
    <row r="209" spans="1:1" x14ac:dyDescent="0.3">
      <c r="A209">
        <v>19519</v>
      </c>
    </row>
    <row r="210" spans="1:1" x14ac:dyDescent="0.3">
      <c r="A210">
        <v>19600</v>
      </c>
    </row>
    <row r="211" spans="1:1" x14ac:dyDescent="0.3">
      <c r="A211">
        <v>19680</v>
      </c>
    </row>
    <row r="212" spans="1:1" x14ac:dyDescent="0.3">
      <c r="A212">
        <v>19761</v>
      </c>
    </row>
    <row r="213" spans="1:1" x14ac:dyDescent="0.3">
      <c r="A213">
        <v>19841</v>
      </c>
    </row>
    <row r="214" spans="1:1" x14ac:dyDescent="0.3">
      <c r="A214">
        <v>19921</v>
      </c>
    </row>
    <row r="215" spans="1:1" x14ac:dyDescent="0.3">
      <c r="A215">
        <v>20000</v>
      </c>
    </row>
    <row r="216" spans="1:1" x14ac:dyDescent="0.3">
      <c r="A216">
        <v>20080</v>
      </c>
    </row>
    <row r="217" spans="1:1" x14ac:dyDescent="0.3">
      <c r="A217">
        <v>20159</v>
      </c>
    </row>
    <row r="218" spans="1:1" x14ac:dyDescent="0.3">
      <c r="A218">
        <v>20238</v>
      </c>
    </row>
    <row r="219" spans="1:1" x14ac:dyDescent="0.3">
      <c r="A219">
        <v>20317</v>
      </c>
    </row>
    <row r="220" spans="1:1" x14ac:dyDescent="0.3">
      <c r="A220">
        <v>20396</v>
      </c>
    </row>
    <row r="221" spans="1:1" x14ac:dyDescent="0.3">
      <c r="A221">
        <v>20475</v>
      </c>
    </row>
    <row r="222" spans="1:1" x14ac:dyDescent="0.3">
      <c r="A222">
        <v>20553</v>
      </c>
    </row>
    <row r="223" spans="1:1" x14ac:dyDescent="0.3">
      <c r="A223">
        <v>20631</v>
      </c>
    </row>
    <row r="224" spans="1:1" x14ac:dyDescent="0.3">
      <c r="A224">
        <v>20709</v>
      </c>
    </row>
    <row r="225" spans="1:1" x14ac:dyDescent="0.3">
      <c r="A225">
        <v>20787</v>
      </c>
    </row>
    <row r="226" spans="1:1" x14ac:dyDescent="0.3">
      <c r="A226">
        <v>20865</v>
      </c>
    </row>
    <row r="227" spans="1:1" x14ac:dyDescent="0.3">
      <c r="A227">
        <v>20942</v>
      </c>
    </row>
    <row r="228" spans="1:1" x14ac:dyDescent="0.3">
      <c r="A228">
        <v>21019</v>
      </c>
    </row>
    <row r="229" spans="1:1" x14ac:dyDescent="0.3">
      <c r="A229">
        <v>21096</v>
      </c>
    </row>
    <row r="230" spans="1:1" x14ac:dyDescent="0.3">
      <c r="A230">
        <v>21173</v>
      </c>
    </row>
    <row r="231" spans="1:1" x14ac:dyDescent="0.3">
      <c r="A231">
        <v>21250</v>
      </c>
    </row>
    <row r="232" spans="1:1" x14ac:dyDescent="0.3">
      <c r="A232">
        <v>21326</v>
      </c>
    </row>
    <row r="233" spans="1:1" x14ac:dyDescent="0.3">
      <c r="A233">
        <v>21403</v>
      </c>
    </row>
    <row r="234" spans="1:1" x14ac:dyDescent="0.3">
      <c r="A234">
        <v>21479</v>
      </c>
    </row>
    <row r="235" spans="1:1" x14ac:dyDescent="0.3">
      <c r="A235">
        <v>21554</v>
      </c>
    </row>
    <row r="236" spans="1:1" x14ac:dyDescent="0.3">
      <c r="A236">
        <v>21630</v>
      </c>
    </row>
    <row r="237" spans="1:1" x14ac:dyDescent="0.3">
      <c r="A237">
        <v>21705</v>
      </c>
    </row>
    <row r="238" spans="1:1" x14ac:dyDescent="0.3">
      <c r="A238">
        <v>21781</v>
      </c>
    </row>
    <row r="239" spans="1:1" x14ac:dyDescent="0.3">
      <c r="A239">
        <v>21856</v>
      </c>
    </row>
    <row r="240" spans="1:1" x14ac:dyDescent="0.3">
      <c r="A240">
        <v>21930</v>
      </c>
    </row>
    <row r="241" spans="1:1" x14ac:dyDescent="0.3">
      <c r="A241">
        <v>22005</v>
      </c>
    </row>
    <row r="242" spans="1:1" x14ac:dyDescent="0.3">
      <c r="A242">
        <v>22079</v>
      </c>
    </row>
    <row r="243" spans="1:1" x14ac:dyDescent="0.3">
      <c r="A243">
        <v>22154</v>
      </c>
    </row>
    <row r="244" spans="1:1" x14ac:dyDescent="0.3">
      <c r="A244">
        <v>22227</v>
      </c>
    </row>
    <row r="245" spans="1:1" x14ac:dyDescent="0.3">
      <c r="A245">
        <v>22301</v>
      </c>
    </row>
    <row r="246" spans="1:1" x14ac:dyDescent="0.3">
      <c r="A246">
        <v>22375</v>
      </c>
    </row>
    <row r="247" spans="1:1" x14ac:dyDescent="0.3">
      <c r="A247">
        <v>22448</v>
      </c>
    </row>
    <row r="248" spans="1:1" x14ac:dyDescent="0.3">
      <c r="A248">
        <v>22521</v>
      </c>
    </row>
    <row r="249" spans="1:1" x14ac:dyDescent="0.3">
      <c r="A249">
        <v>22594</v>
      </c>
    </row>
    <row r="250" spans="1:1" x14ac:dyDescent="0.3">
      <c r="A250">
        <v>22667</v>
      </c>
    </row>
    <row r="251" spans="1:1" x14ac:dyDescent="0.3">
      <c r="A251">
        <v>22739</v>
      </c>
    </row>
    <row r="252" spans="1:1" x14ac:dyDescent="0.3">
      <c r="A252">
        <v>22812</v>
      </c>
    </row>
    <row r="253" spans="1:1" x14ac:dyDescent="0.3">
      <c r="A253">
        <v>22884</v>
      </c>
    </row>
    <row r="254" spans="1:1" x14ac:dyDescent="0.3">
      <c r="A254">
        <v>22956</v>
      </c>
    </row>
    <row r="255" spans="1:1" x14ac:dyDescent="0.3">
      <c r="A255">
        <v>23027</v>
      </c>
    </row>
    <row r="256" spans="1:1" x14ac:dyDescent="0.3">
      <c r="A256">
        <v>23099</v>
      </c>
    </row>
    <row r="257" spans="1:1" x14ac:dyDescent="0.3">
      <c r="A257">
        <v>23170</v>
      </c>
    </row>
    <row r="258" spans="1:1" x14ac:dyDescent="0.3">
      <c r="A258">
        <v>23241</v>
      </c>
    </row>
    <row r="259" spans="1:1" x14ac:dyDescent="0.3">
      <c r="A259">
        <v>23311</v>
      </c>
    </row>
    <row r="260" spans="1:1" x14ac:dyDescent="0.3">
      <c r="A260">
        <v>23382</v>
      </c>
    </row>
    <row r="261" spans="1:1" x14ac:dyDescent="0.3">
      <c r="A261">
        <v>23452</v>
      </c>
    </row>
    <row r="262" spans="1:1" x14ac:dyDescent="0.3">
      <c r="A262">
        <v>23522</v>
      </c>
    </row>
    <row r="263" spans="1:1" x14ac:dyDescent="0.3">
      <c r="A263">
        <v>23592</v>
      </c>
    </row>
    <row r="264" spans="1:1" x14ac:dyDescent="0.3">
      <c r="A264">
        <v>23662</v>
      </c>
    </row>
    <row r="265" spans="1:1" x14ac:dyDescent="0.3">
      <c r="A265">
        <v>23731</v>
      </c>
    </row>
    <row r="266" spans="1:1" x14ac:dyDescent="0.3">
      <c r="A266">
        <v>23801</v>
      </c>
    </row>
    <row r="267" spans="1:1" x14ac:dyDescent="0.3">
      <c r="A267">
        <v>23870</v>
      </c>
    </row>
    <row r="268" spans="1:1" x14ac:dyDescent="0.3">
      <c r="A268">
        <v>23938</v>
      </c>
    </row>
    <row r="269" spans="1:1" x14ac:dyDescent="0.3">
      <c r="A269">
        <v>24007</v>
      </c>
    </row>
    <row r="270" spans="1:1" x14ac:dyDescent="0.3">
      <c r="A270">
        <v>24075</v>
      </c>
    </row>
    <row r="271" spans="1:1" x14ac:dyDescent="0.3">
      <c r="A271">
        <v>24143</v>
      </c>
    </row>
    <row r="272" spans="1:1" x14ac:dyDescent="0.3">
      <c r="A272">
        <v>24211</v>
      </c>
    </row>
    <row r="273" spans="1:1" x14ac:dyDescent="0.3">
      <c r="A273">
        <v>24279</v>
      </c>
    </row>
    <row r="274" spans="1:1" x14ac:dyDescent="0.3">
      <c r="A274">
        <v>24346</v>
      </c>
    </row>
    <row r="275" spans="1:1" x14ac:dyDescent="0.3">
      <c r="A275">
        <v>24413</v>
      </c>
    </row>
    <row r="276" spans="1:1" x14ac:dyDescent="0.3">
      <c r="A276">
        <v>24480</v>
      </c>
    </row>
    <row r="277" spans="1:1" x14ac:dyDescent="0.3">
      <c r="A277">
        <v>24547</v>
      </c>
    </row>
    <row r="278" spans="1:1" x14ac:dyDescent="0.3">
      <c r="A278">
        <v>24613</v>
      </c>
    </row>
    <row r="279" spans="1:1" x14ac:dyDescent="0.3">
      <c r="A279">
        <v>24680</v>
      </c>
    </row>
    <row r="280" spans="1:1" x14ac:dyDescent="0.3">
      <c r="A280">
        <v>24746</v>
      </c>
    </row>
    <row r="281" spans="1:1" x14ac:dyDescent="0.3">
      <c r="A281">
        <v>24811</v>
      </c>
    </row>
    <row r="282" spans="1:1" x14ac:dyDescent="0.3">
      <c r="A282">
        <v>24877</v>
      </c>
    </row>
    <row r="283" spans="1:1" x14ac:dyDescent="0.3">
      <c r="A283">
        <v>24942</v>
      </c>
    </row>
    <row r="284" spans="1:1" x14ac:dyDescent="0.3">
      <c r="A284">
        <v>25007</v>
      </c>
    </row>
    <row r="285" spans="1:1" x14ac:dyDescent="0.3">
      <c r="A285">
        <v>25072</v>
      </c>
    </row>
    <row r="286" spans="1:1" x14ac:dyDescent="0.3">
      <c r="A286">
        <v>25137</v>
      </c>
    </row>
    <row r="287" spans="1:1" x14ac:dyDescent="0.3">
      <c r="A287">
        <v>25201</v>
      </c>
    </row>
    <row r="288" spans="1:1" x14ac:dyDescent="0.3">
      <c r="A288">
        <v>25265</v>
      </c>
    </row>
    <row r="289" spans="1:1" x14ac:dyDescent="0.3">
      <c r="A289">
        <v>25329</v>
      </c>
    </row>
    <row r="290" spans="1:1" x14ac:dyDescent="0.3">
      <c r="A290">
        <v>25393</v>
      </c>
    </row>
    <row r="291" spans="1:1" x14ac:dyDescent="0.3">
      <c r="A291">
        <v>25456</v>
      </c>
    </row>
    <row r="292" spans="1:1" x14ac:dyDescent="0.3">
      <c r="A292">
        <v>25519</v>
      </c>
    </row>
    <row r="293" spans="1:1" x14ac:dyDescent="0.3">
      <c r="A293">
        <v>25582</v>
      </c>
    </row>
    <row r="294" spans="1:1" x14ac:dyDescent="0.3">
      <c r="A294">
        <v>25645</v>
      </c>
    </row>
    <row r="295" spans="1:1" x14ac:dyDescent="0.3">
      <c r="A295">
        <v>25708</v>
      </c>
    </row>
    <row r="296" spans="1:1" x14ac:dyDescent="0.3">
      <c r="A296">
        <v>25770</v>
      </c>
    </row>
    <row r="297" spans="1:1" x14ac:dyDescent="0.3">
      <c r="A297">
        <v>25832</v>
      </c>
    </row>
    <row r="298" spans="1:1" x14ac:dyDescent="0.3">
      <c r="A298">
        <v>25893</v>
      </c>
    </row>
    <row r="299" spans="1:1" x14ac:dyDescent="0.3">
      <c r="A299">
        <v>25955</v>
      </c>
    </row>
    <row r="300" spans="1:1" x14ac:dyDescent="0.3">
      <c r="A300">
        <v>26016</v>
      </c>
    </row>
    <row r="301" spans="1:1" x14ac:dyDescent="0.3">
      <c r="A301">
        <v>26077</v>
      </c>
    </row>
    <row r="302" spans="1:1" x14ac:dyDescent="0.3">
      <c r="A302">
        <v>26138</v>
      </c>
    </row>
    <row r="303" spans="1:1" x14ac:dyDescent="0.3">
      <c r="A303">
        <v>26198</v>
      </c>
    </row>
    <row r="304" spans="1:1" x14ac:dyDescent="0.3">
      <c r="A304">
        <v>26259</v>
      </c>
    </row>
    <row r="305" spans="1:1" x14ac:dyDescent="0.3">
      <c r="A305">
        <v>26319</v>
      </c>
    </row>
    <row r="306" spans="1:1" x14ac:dyDescent="0.3">
      <c r="A306">
        <v>26378</v>
      </c>
    </row>
    <row r="307" spans="1:1" x14ac:dyDescent="0.3">
      <c r="A307">
        <v>26438</v>
      </c>
    </row>
    <row r="308" spans="1:1" x14ac:dyDescent="0.3">
      <c r="A308">
        <v>26497</v>
      </c>
    </row>
    <row r="309" spans="1:1" x14ac:dyDescent="0.3">
      <c r="A309">
        <v>26556</v>
      </c>
    </row>
    <row r="310" spans="1:1" x14ac:dyDescent="0.3">
      <c r="A310">
        <v>26615</v>
      </c>
    </row>
    <row r="311" spans="1:1" x14ac:dyDescent="0.3">
      <c r="A311">
        <v>26674</v>
      </c>
    </row>
    <row r="312" spans="1:1" x14ac:dyDescent="0.3">
      <c r="A312">
        <v>26732</v>
      </c>
    </row>
    <row r="313" spans="1:1" x14ac:dyDescent="0.3">
      <c r="A313">
        <v>26790</v>
      </c>
    </row>
    <row r="314" spans="1:1" x14ac:dyDescent="0.3">
      <c r="A314">
        <v>26848</v>
      </c>
    </row>
    <row r="315" spans="1:1" x14ac:dyDescent="0.3">
      <c r="A315">
        <v>26905</v>
      </c>
    </row>
    <row r="316" spans="1:1" x14ac:dyDescent="0.3">
      <c r="A316">
        <v>26962</v>
      </c>
    </row>
    <row r="317" spans="1:1" x14ac:dyDescent="0.3">
      <c r="A317">
        <v>27019</v>
      </c>
    </row>
    <row r="318" spans="1:1" x14ac:dyDescent="0.3">
      <c r="A318">
        <v>27076</v>
      </c>
    </row>
    <row r="319" spans="1:1" x14ac:dyDescent="0.3">
      <c r="A319">
        <v>27133</v>
      </c>
    </row>
    <row r="320" spans="1:1" x14ac:dyDescent="0.3">
      <c r="A320">
        <v>27189</v>
      </c>
    </row>
    <row r="321" spans="1:1" x14ac:dyDescent="0.3">
      <c r="A321">
        <v>27245</v>
      </c>
    </row>
    <row r="322" spans="1:1" x14ac:dyDescent="0.3">
      <c r="A322">
        <v>27300</v>
      </c>
    </row>
    <row r="323" spans="1:1" x14ac:dyDescent="0.3">
      <c r="A323">
        <v>27356</v>
      </c>
    </row>
    <row r="324" spans="1:1" x14ac:dyDescent="0.3">
      <c r="A324">
        <v>27411</v>
      </c>
    </row>
    <row r="325" spans="1:1" x14ac:dyDescent="0.3">
      <c r="A325">
        <v>27466</v>
      </c>
    </row>
    <row r="326" spans="1:1" x14ac:dyDescent="0.3">
      <c r="A326">
        <v>27521</v>
      </c>
    </row>
    <row r="327" spans="1:1" x14ac:dyDescent="0.3">
      <c r="A327">
        <v>27575</v>
      </c>
    </row>
    <row r="328" spans="1:1" x14ac:dyDescent="0.3">
      <c r="A328">
        <v>27629</v>
      </c>
    </row>
    <row r="329" spans="1:1" x14ac:dyDescent="0.3">
      <c r="A329">
        <v>27683</v>
      </c>
    </row>
    <row r="330" spans="1:1" x14ac:dyDescent="0.3">
      <c r="A330">
        <v>27737</v>
      </c>
    </row>
    <row r="331" spans="1:1" x14ac:dyDescent="0.3">
      <c r="A331">
        <v>27790</v>
      </c>
    </row>
    <row r="332" spans="1:1" x14ac:dyDescent="0.3">
      <c r="A332">
        <v>27843</v>
      </c>
    </row>
    <row r="333" spans="1:1" x14ac:dyDescent="0.3">
      <c r="A333">
        <v>27896</v>
      </c>
    </row>
    <row r="334" spans="1:1" x14ac:dyDescent="0.3">
      <c r="A334">
        <v>27949</v>
      </c>
    </row>
    <row r="335" spans="1:1" x14ac:dyDescent="0.3">
      <c r="A335">
        <v>28001</v>
      </c>
    </row>
    <row r="336" spans="1:1" x14ac:dyDescent="0.3">
      <c r="A336">
        <v>28053</v>
      </c>
    </row>
    <row r="337" spans="1:1" x14ac:dyDescent="0.3">
      <c r="A337">
        <v>28105</v>
      </c>
    </row>
    <row r="338" spans="1:1" x14ac:dyDescent="0.3">
      <c r="A338">
        <v>28157</v>
      </c>
    </row>
    <row r="339" spans="1:1" x14ac:dyDescent="0.3">
      <c r="A339">
        <v>28208</v>
      </c>
    </row>
    <row r="340" spans="1:1" x14ac:dyDescent="0.3">
      <c r="A340">
        <v>28259</v>
      </c>
    </row>
    <row r="341" spans="1:1" x14ac:dyDescent="0.3">
      <c r="A341">
        <v>28310</v>
      </c>
    </row>
    <row r="342" spans="1:1" x14ac:dyDescent="0.3">
      <c r="A342">
        <v>28360</v>
      </c>
    </row>
    <row r="343" spans="1:1" x14ac:dyDescent="0.3">
      <c r="A343">
        <v>28411</v>
      </c>
    </row>
    <row r="344" spans="1:1" x14ac:dyDescent="0.3">
      <c r="A344">
        <v>28460</v>
      </c>
    </row>
    <row r="345" spans="1:1" x14ac:dyDescent="0.3">
      <c r="A345">
        <v>28510</v>
      </c>
    </row>
    <row r="346" spans="1:1" x14ac:dyDescent="0.3">
      <c r="A346">
        <v>28560</v>
      </c>
    </row>
    <row r="347" spans="1:1" x14ac:dyDescent="0.3">
      <c r="A347">
        <v>28609</v>
      </c>
    </row>
    <row r="348" spans="1:1" x14ac:dyDescent="0.3">
      <c r="A348">
        <v>28658</v>
      </c>
    </row>
    <row r="349" spans="1:1" x14ac:dyDescent="0.3">
      <c r="A349">
        <v>28706</v>
      </c>
    </row>
    <row r="350" spans="1:1" x14ac:dyDescent="0.3">
      <c r="A350">
        <v>28755</v>
      </c>
    </row>
    <row r="351" spans="1:1" x14ac:dyDescent="0.3">
      <c r="A351">
        <v>28803</v>
      </c>
    </row>
    <row r="352" spans="1:1" x14ac:dyDescent="0.3">
      <c r="A352">
        <v>28850</v>
      </c>
    </row>
    <row r="353" spans="1:1" x14ac:dyDescent="0.3">
      <c r="A353">
        <v>28898</v>
      </c>
    </row>
    <row r="354" spans="1:1" x14ac:dyDescent="0.3">
      <c r="A354">
        <v>28945</v>
      </c>
    </row>
    <row r="355" spans="1:1" x14ac:dyDescent="0.3">
      <c r="A355">
        <v>28992</v>
      </c>
    </row>
    <row r="356" spans="1:1" x14ac:dyDescent="0.3">
      <c r="A356">
        <v>29039</v>
      </c>
    </row>
    <row r="357" spans="1:1" x14ac:dyDescent="0.3">
      <c r="A357">
        <v>29085</v>
      </c>
    </row>
    <row r="358" spans="1:1" x14ac:dyDescent="0.3">
      <c r="A358">
        <v>29131</v>
      </c>
    </row>
    <row r="359" spans="1:1" x14ac:dyDescent="0.3">
      <c r="A359">
        <v>29177</v>
      </c>
    </row>
    <row r="360" spans="1:1" x14ac:dyDescent="0.3">
      <c r="A360">
        <v>29223</v>
      </c>
    </row>
    <row r="361" spans="1:1" x14ac:dyDescent="0.3">
      <c r="A361">
        <v>29268</v>
      </c>
    </row>
    <row r="362" spans="1:1" x14ac:dyDescent="0.3">
      <c r="A362">
        <v>29313</v>
      </c>
    </row>
    <row r="363" spans="1:1" x14ac:dyDescent="0.3">
      <c r="A363">
        <v>29358</v>
      </c>
    </row>
    <row r="364" spans="1:1" x14ac:dyDescent="0.3">
      <c r="A364">
        <v>29403</v>
      </c>
    </row>
    <row r="365" spans="1:1" x14ac:dyDescent="0.3">
      <c r="A365">
        <v>29447</v>
      </c>
    </row>
    <row r="366" spans="1:1" x14ac:dyDescent="0.3">
      <c r="A366">
        <v>29491</v>
      </c>
    </row>
    <row r="367" spans="1:1" x14ac:dyDescent="0.3">
      <c r="A367">
        <v>29534</v>
      </c>
    </row>
    <row r="368" spans="1:1" x14ac:dyDescent="0.3">
      <c r="A368">
        <v>29578</v>
      </c>
    </row>
    <row r="369" spans="1:1" x14ac:dyDescent="0.3">
      <c r="A369">
        <v>29621</v>
      </c>
    </row>
    <row r="370" spans="1:1" x14ac:dyDescent="0.3">
      <c r="A370">
        <v>29664</v>
      </c>
    </row>
    <row r="371" spans="1:1" x14ac:dyDescent="0.3">
      <c r="A371">
        <v>29706</v>
      </c>
    </row>
    <row r="372" spans="1:1" x14ac:dyDescent="0.3">
      <c r="A372">
        <v>29749</v>
      </c>
    </row>
    <row r="373" spans="1:1" x14ac:dyDescent="0.3">
      <c r="A373">
        <v>29791</v>
      </c>
    </row>
    <row r="374" spans="1:1" x14ac:dyDescent="0.3">
      <c r="A374">
        <v>29832</v>
      </c>
    </row>
    <row r="375" spans="1:1" x14ac:dyDescent="0.3">
      <c r="A375">
        <v>29874</v>
      </c>
    </row>
    <row r="376" spans="1:1" x14ac:dyDescent="0.3">
      <c r="A376">
        <v>29915</v>
      </c>
    </row>
    <row r="377" spans="1:1" x14ac:dyDescent="0.3">
      <c r="A377">
        <v>29956</v>
      </c>
    </row>
    <row r="378" spans="1:1" x14ac:dyDescent="0.3">
      <c r="A378">
        <v>29997</v>
      </c>
    </row>
    <row r="379" spans="1:1" x14ac:dyDescent="0.3">
      <c r="A379">
        <v>30037</v>
      </c>
    </row>
    <row r="380" spans="1:1" x14ac:dyDescent="0.3">
      <c r="A380">
        <v>30077</v>
      </c>
    </row>
    <row r="381" spans="1:1" x14ac:dyDescent="0.3">
      <c r="A381">
        <v>30117</v>
      </c>
    </row>
    <row r="382" spans="1:1" x14ac:dyDescent="0.3">
      <c r="A382">
        <v>30156</v>
      </c>
    </row>
    <row r="383" spans="1:1" x14ac:dyDescent="0.3">
      <c r="A383">
        <v>30195</v>
      </c>
    </row>
    <row r="384" spans="1:1" x14ac:dyDescent="0.3">
      <c r="A384">
        <v>30234</v>
      </c>
    </row>
    <row r="385" spans="1:1" x14ac:dyDescent="0.3">
      <c r="A385">
        <v>30273</v>
      </c>
    </row>
    <row r="386" spans="1:1" x14ac:dyDescent="0.3">
      <c r="A386">
        <v>30311</v>
      </c>
    </row>
    <row r="387" spans="1:1" x14ac:dyDescent="0.3">
      <c r="A387">
        <v>30349</v>
      </c>
    </row>
    <row r="388" spans="1:1" x14ac:dyDescent="0.3">
      <c r="A388">
        <v>30387</v>
      </c>
    </row>
    <row r="389" spans="1:1" x14ac:dyDescent="0.3">
      <c r="A389">
        <v>30424</v>
      </c>
    </row>
    <row r="390" spans="1:1" x14ac:dyDescent="0.3">
      <c r="A390">
        <v>30462</v>
      </c>
    </row>
    <row r="391" spans="1:1" x14ac:dyDescent="0.3">
      <c r="A391">
        <v>30498</v>
      </c>
    </row>
    <row r="392" spans="1:1" x14ac:dyDescent="0.3">
      <c r="A392">
        <v>30535</v>
      </c>
    </row>
    <row r="393" spans="1:1" x14ac:dyDescent="0.3">
      <c r="A393">
        <v>30571</v>
      </c>
    </row>
    <row r="394" spans="1:1" x14ac:dyDescent="0.3">
      <c r="A394">
        <v>30607</v>
      </c>
    </row>
    <row r="395" spans="1:1" x14ac:dyDescent="0.3">
      <c r="A395">
        <v>30643</v>
      </c>
    </row>
    <row r="396" spans="1:1" x14ac:dyDescent="0.3">
      <c r="A396">
        <v>30679</v>
      </c>
    </row>
    <row r="397" spans="1:1" x14ac:dyDescent="0.3">
      <c r="A397">
        <v>30714</v>
      </c>
    </row>
    <row r="398" spans="1:1" x14ac:dyDescent="0.3">
      <c r="A398">
        <v>30749</v>
      </c>
    </row>
    <row r="399" spans="1:1" x14ac:dyDescent="0.3">
      <c r="A399">
        <v>30783</v>
      </c>
    </row>
    <row r="400" spans="1:1" x14ac:dyDescent="0.3">
      <c r="A400">
        <v>30818</v>
      </c>
    </row>
    <row r="401" spans="1:1" x14ac:dyDescent="0.3">
      <c r="A401">
        <v>30852</v>
      </c>
    </row>
    <row r="402" spans="1:1" x14ac:dyDescent="0.3">
      <c r="A402">
        <v>30885</v>
      </c>
    </row>
    <row r="403" spans="1:1" x14ac:dyDescent="0.3">
      <c r="A403">
        <v>30919</v>
      </c>
    </row>
    <row r="404" spans="1:1" x14ac:dyDescent="0.3">
      <c r="A404">
        <v>30952</v>
      </c>
    </row>
    <row r="405" spans="1:1" x14ac:dyDescent="0.3">
      <c r="A405">
        <v>30985</v>
      </c>
    </row>
    <row r="406" spans="1:1" x14ac:dyDescent="0.3">
      <c r="A406">
        <v>31017</v>
      </c>
    </row>
    <row r="407" spans="1:1" x14ac:dyDescent="0.3">
      <c r="A407">
        <v>31050</v>
      </c>
    </row>
    <row r="408" spans="1:1" x14ac:dyDescent="0.3">
      <c r="A408">
        <v>31082</v>
      </c>
    </row>
    <row r="409" spans="1:1" x14ac:dyDescent="0.3">
      <c r="A409">
        <v>31113</v>
      </c>
    </row>
    <row r="410" spans="1:1" x14ac:dyDescent="0.3">
      <c r="A410">
        <v>31145</v>
      </c>
    </row>
    <row r="411" spans="1:1" x14ac:dyDescent="0.3">
      <c r="A411">
        <v>31176</v>
      </c>
    </row>
    <row r="412" spans="1:1" x14ac:dyDescent="0.3">
      <c r="A412">
        <v>31206</v>
      </c>
    </row>
    <row r="413" spans="1:1" x14ac:dyDescent="0.3">
      <c r="A413">
        <v>31237</v>
      </c>
    </row>
    <row r="414" spans="1:1" x14ac:dyDescent="0.3">
      <c r="A414">
        <v>31267</v>
      </c>
    </row>
    <row r="415" spans="1:1" x14ac:dyDescent="0.3">
      <c r="A415">
        <v>31297</v>
      </c>
    </row>
    <row r="416" spans="1:1" x14ac:dyDescent="0.3">
      <c r="A416">
        <v>31327</v>
      </c>
    </row>
    <row r="417" spans="1:1" x14ac:dyDescent="0.3">
      <c r="A417">
        <v>31356</v>
      </c>
    </row>
    <row r="418" spans="1:1" x14ac:dyDescent="0.3">
      <c r="A418">
        <v>31385</v>
      </c>
    </row>
    <row r="419" spans="1:1" x14ac:dyDescent="0.3">
      <c r="A419">
        <v>31414</v>
      </c>
    </row>
    <row r="420" spans="1:1" x14ac:dyDescent="0.3">
      <c r="A420">
        <v>31442</v>
      </c>
    </row>
    <row r="421" spans="1:1" x14ac:dyDescent="0.3">
      <c r="A421">
        <v>31470</v>
      </c>
    </row>
    <row r="422" spans="1:1" x14ac:dyDescent="0.3">
      <c r="A422">
        <v>31498</v>
      </c>
    </row>
    <row r="423" spans="1:1" x14ac:dyDescent="0.3">
      <c r="A423">
        <v>31526</v>
      </c>
    </row>
    <row r="424" spans="1:1" x14ac:dyDescent="0.3">
      <c r="A424">
        <v>31553</v>
      </c>
    </row>
    <row r="425" spans="1:1" x14ac:dyDescent="0.3">
      <c r="A425">
        <v>31580</v>
      </c>
    </row>
    <row r="426" spans="1:1" x14ac:dyDescent="0.3">
      <c r="A426">
        <v>31607</v>
      </c>
    </row>
    <row r="427" spans="1:1" x14ac:dyDescent="0.3">
      <c r="A427">
        <v>31633</v>
      </c>
    </row>
    <row r="428" spans="1:1" x14ac:dyDescent="0.3">
      <c r="A428">
        <v>31659</v>
      </c>
    </row>
    <row r="429" spans="1:1" x14ac:dyDescent="0.3">
      <c r="A429">
        <v>31685</v>
      </c>
    </row>
    <row r="430" spans="1:1" x14ac:dyDescent="0.3">
      <c r="A430">
        <v>31710</v>
      </c>
    </row>
    <row r="431" spans="1:1" x14ac:dyDescent="0.3">
      <c r="A431">
        <v>31736</v>
      </c>
    </row>
    <row r="432" spans="1:1" x14ac:dyDescent="0.3">
      <c r="A432">
        <v>31760</v>
      </c>
    </row>
    <row r="433" spans="1:1" x14ac:dyDescent="0.3">
      <c r="A433">
        <v>31785</v>
      </c>
    </row>
    <row r="434" spans="1:1" x14ac:dyDescent="0.3">
      <c r="A434">
        <v>31809</v>
      </c>
    </row>
    <row r="435" spans="1:1" x14ac:dyDescent="0.3">
      <c r="A435">
        <v>31833</v>
      </c>
    </row>
    <row r="436" spans="1:1" x14ac:dyDescent="0.3">
      <c r="A436">
        <v>31857</v>
      </c>
    </row>
    <row r="437" spans="1:1" x14ac:dyDescent="0.3">
      <c r="A437">
        <v>31880</v>
      </c>
    </row>
    <row r="438" spans="1:1" x14ac:dyDescent="0.3">
      <c r="A438">
        <v>31903</v>
      </c>
    </row>
    <row r="439" spans="1:1" x14ac:dyDescent="0.3">
      <c r="A439">
        <v>31926</v>
      </c>
    </row>
    <row r="440" spans="1:1" x14ac:dyDescent="0.3">
      <c r="A440">
        <v>31949</v>
      </c>
    </row>
    <row r="441" spans="1:1" x14ac:dyDescent="0.3">
      <c r="A441">
        <v>31971</v>
      </c>
    </row>
    <row r="442" spans="1:1" x14ac:dyDescent="0.3">
      <c r="A442">
        <v>31993</v>
      </c>
    </row>
    <row r="443" spans="1:1" x14ac:dyDescent="0.3">
      <c r="A443">
        <v>32014</v>
      </c>
    </row>
    <row r="444" spans="1:1" x14ac:dyDescent="0.3">
      <c r="A444">
        <v>32036</v>
      </c>
    </row>
    <row r="445" spans="1:1" x14ac:dyDescent="0.3">
      <c r="A445">
        <v>32057</v>
      </c>
    </row>
    <row r="446" spans="1:1" x14ac:dyDescent="0.3">
      <c r="A446">
        <v>32077</v>
      </c>
    </row>
    <row r="447" spans="1:1" x14ac:dyDescent="0.3">
      <c r="A447">
        <v>32098</v>
      </c>
    </row>
    <row r="448" spans="1:1" x14ac:dyDescent="0.3">
      <c r="A448">
        <v>32118</v>
      </c>
    </row>
    <row r="449" spans="1:1" x14ac:dyDescent="0.3">
      <c r="A449">
        <v>32137</v>
      </c>
    </row>
    <row r="450" spans="1:1" x14ac:dyDescent="0.3">
      <c r="A450">
        <v>32157</v>
      </c>
    </row>
    <row r="451" spans="1:1" x14ac:dyDescent="0.3">
      <c r="A451">
        <v>32176</v>
      </c>
    </row>
    <row r="452" spans="1:1" x14ac:dyDescent="0.3">
      <c r="A452">
        <v>32195</v>
      </c>
    </row>
    <row r="453" spans="1:1" x14ac:dyDescent="0.3">
      <c r="A453">
        <v>32213</v>
      </c>
    </row>
    <row r="454" spans="1:1" x14ac:dyDescent="0.3">
      <c r="A454">
        <v>32232</v>
      </c>
    </row>
    <row r="455" spans="1:1" x14ac:dyDescent="0.3">
      <c r="A455">
        <v>32250</v>
      </c>
    </row>
    <row r="456" spans="1:1" x14ac:dyDescent="0.3">
      <c r="A456">
        <v>32267</v>
      </c>
    </row>
    <row r="457" spans="1:1" x14ac:dyDescent="0.3">
      <c r="A457">
        <v>32285</v>
      </c>
    </row>
    <row r="458" spans="1:1" x14ac:dyDescent="0.3">
      <c r="A458">
        <v>32302</v>
      </c>
    </row>
    <row r="459" spans="1:1" x14ac:dyDescent="0.3">
      <c r="A459">
        <v>32318</v>
      </c>
    </row>
    <row r="460" spans="1:1" x14ac:dyDescent="0.3">
      <c r="A460">
        <v>32335</v>
      </c>
    </row>
    <row r="461" spans="1:1" x14ac:dyDescent="0.3">
      <c r="A461">
        <v>32351</v>
      </c>
    </row>
    <row r="462" spans="1:1" x14ac:dyDescent="0.3">
      <c r="A462">
        <v>32367</v>
      </c>
    </row>
    <row r="463" spans="1:1" x14ac:dyDescent="0.3">
      <c r="A463">
        <v>32382</v>
      </c>
    </row>
    <row r="464" spans="1:1" x14ac:dyDescent="0.3">
      <c r="A464">
        <v>32397</v>
      </c>
    </row>
    <row r="465" spans="1:1" x14ac:dyDescent="0.3">
      <c r="A465">
        <v>32412</v>
      </c>
    </row>
    <row r="466" spans="1:1" x14ac:dyDescent="0.3">
      <c r="A466">
        <v>32427</v>
      </c>
    </row>
    <row r="467" spans="1:1" x14ac:dyDescent="0.3">
      <c r="A467">
        <v>32441</v>
      </c>
    </row>
    <row r="468" spans="1:1" x14ac:dyDescent="0.3">
      <c r="A468">
        <v>32455</v>
      </c>
    </row>
    <row r="469" spans="1:1" x14ac:dyDescent="0.3">
      <c r="A469">
        <v>32469</v>
      </c>
    </row>
    <row r="470" spans="1:1" x14ac:dyDescent="0.3">
      <c r="A470">
        <v>32482</v>
      </c>
    </row>
    <row r="471" spans="1:1" x14ac:dyDescent="0.3">
      <c r="A471">
        <v>32495</v>
      </c>
    </row>
    <row r="472" spans="1:1" x14ac:dyDescent="0.3">
      <c r="A472">
        <v>32508</v>
      </c>
    </row>
    <row r="473" spans="1:1" x14ac:dyDescent="0.3">
      <c r="A473">
        <v>32521</v>
      </c>
    </row>
    <row r="474" spans="1:1" x14ac:dyDescent="0.3">
      <c r="A474">
        <v>32533</v>
      </c>
    </row>
    <row r="475" spans="1:1" x14ac:dyDescent="0.3">
      <c r="A475">
        <v>32545</v>
      </c>
    </row>
    <row r="476" spans="1:1" x14ac:dyDescent="0.3">
      <c r="A476">
        <v>32556</v>
      </c>
    </row>
    <row r="477" spans="1:1" x14ac:dyDescent="0.3">
      <c r="A477">
        <v>32567</v>
      </c>
    </row>
    <row r="478" spans="1:1" x14ac:dyDescent="0.3">
      <c r="A478">
        <v>32578</v>
      </c>
    </row>
    <row r="479" spans="1:1" x14ac:dyDescent="0.3">
      <c r="A479">
        <v>32589</v>
      </c>
    </row>
    <row r="480" spans="1:1" x14ac:dyDescent="0.3">
      <c r="A480">
        <v>32599</v>
      </c>
    </row>
    <row r="481" spans="1:1" x14ac:dyDescent="0.3">
      <c r="A481">
        <v>32609</v>
      </c>
    </row>
    <row r="482" spans="1:1" x14ac:dyDescent="0.3">
      <c r="A482">
        <v>32619</v>
      </c>
    </row>
    <row r="483" spans="1:1" x14ac:dyDescent="0.3">
      <c r="A483">
        <v>32628</v>
      </c>
    </row>
    <row r="484" spans="1:1" x14ac:dyDescent="0.3">
      <c r="A484">
        <v>32637</v>
      </c>
    </row>
    <row r="485" spans="1:1" x14ac:dyDescent="0.3">
      <c r="A485">
        <v>32646</v>
      </c>
    </row>
    <row r="486" spans="1:1" x14ac:dyDescent="0.3">
      <c r="A486">
        <v>32655</v>
      </c>
    </row>
    <row r="487" spans="1:1" x14ac:dyDescent="0.3">
      <c r="A487">
        <v>32663</v>
      </c>
    </row>
    <row r="488" spans="1:1" x14ac:dyDescent="0.3">
      <c r="A488">
        <v>32671</v>
      </c>
    </row>
    <row r="489" spans="1:1" x14ac:dyDescent="0.3">
      <c r="A489">
        <v>32678</v>
      </c>
    </row>
    <row r="490" spans="1:1" x14ac:dyDescent="0.3">
      <c r="A490">
        <v>32685</v>
      </c>
    </row>
    <row r="491" spans="1:1" x14ac:dyDescent="0.3">
      <c r="A491">
        <v>32692</v>
      </c>
    </row>
    <row r="492" spans="1:1" x14ac:dyDescent="0.3">
      <c r="A492">
        <v>32699</v>
      </c>
    </row>
    <row r="493" spans="1:1" x14ac:dyDescent="0.3">
      <c r="A493">
        <v>32705</v>
      </c>
    </row>
    <row r="494" spans="1:1" x14ac:dyDescent="0.3">
      <c r="A494">
        <v>32711</v>
      </c>
    </row>
    <row r="495" spans="1:1" x14ac:dyDescent="0.3">
      <c r="A495">
        <v>32717</v>
      </c>
    </row>
    <row r="496" spans="1:1" x14ac:dyDescent="0.3">
      <c r="A496">
        <v>32722</v>
      </c>
    </row>
    <row r="497" spans="1:1" x14ac:dyDescent="0.3">
      <c r="A497">
        <v>32728</v>
      </c>
    </row>
    <row r="498" spans="1:1" x14ac:dyDescent="0.3">
      <c r="A498">
        <v>32732</v>
      </c>
    </row>
    <row r="499" spans="1:1" x14ac:dyDescent="0.3">
      <c r="A499">
        <v>32737</v>
      </c>
    </row>
    <row r="500" spans="1:1" x14ac:dyDescent="0.3">
      <c r="A500">
        <v>32741</v>
      </c>
    </row>
    <row r="501" spans="1:1" x14ac:dyDescent="0.3">
      <c r="A501">
        <v>32745</v>
      </c>
    </row>
    <row r="502" spans="1:1" x14ac:dyDescent="0.3">
      <c r="A502">
        <v>32748</v>
      </c>
    </row>
    <row r="503" spans="1:1" x14ac:dyDescent="0.3">
      <c r="A503">
        <v>32752</v>
      </c>
    </row>
    <row r="504" spans="1:1" x14ac:dyDescent="0.3">
      <c r="A504">
        <v>32755</v>
      </c>
    </row>
    <row r="505" spans="1:1" x14ac:dyDescent="0.3">
      <c r="A505">
        <v>32757</v>
      </c>
    </row>
    <row r="506" spans="1:1" x14ac:dyDescent="0.3">
      <c r="A506">
        <v>32759</v>
      </c>
    </row>
    <row r="507" spans="1:1" x14ac:dyDescent="0.3">
      <c r="A507">
        <v>32761</v>
      </c>
    </row>
    <row r="508" spans="1:1" x14ac:dyDescent="0.3">
      <c r="A508">
        <v>32763</v>
      </c>
    </row>
    <row r="509" spans="1:1" x14ac:dyDescent="0.3">
      <c r="A509">
        <v>32765</v>
      </c>
    </row>
    <row r="510" spans="1:1" x14ac:dyDescent="0.3">
      <c r="A510">
        <v>32766</v>
      </c>
    </row>
    <row r="511" spans="1:1" x14ac:dyDescent="0.3">
      <c r="A511">
        <v>32766</v>
      </c>
    </row>
    <row r="512" spans="1:1" x14ac:dyDescent="0.3">
      <c r="A512">
        <v>32767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7</vt:i4>
      </vt:variant>
      <vt:variant>
        <vt:lpstr>Adlandırılmış Aralıklar</vt:lpstr>
      </vt:variant>
      <vt:variant>
        <vt:i4>1</vt:i4>
      </vt:variant>
    </vt:vector>
  </HeadingPairs>
  <TitlesOfParts>
    <vt:vector size="8" baseType="lpstr">
      <vt:lpstr>Kararlı durum N=7</vt:lpstr>
      <vt:lpstr>Kararlı durum N=12</vt:lpstr>
      <vt:lpstr>Vac Hesap</vt:lpstr>
      <vt:lpstr>Vpv Hesap</vt:lpstr>
      <vt:lpstr>PI Hessaplamalar</vt:lpstr>
      <vt:lpstr>AC Akım</vt:lpstr>
      <vt:lpstr>Q15 Sin Table</vt:lpstr>
      <vt:lpstr>tablo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2016-07-13T13:35:50Z</dcterms:modified>
</cp:coreProperties>
</file>